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teracloud.sharepoint.com/sites/collaboration/investor-relations/Shared Documents/Kvartalsrapporter/"/>
    </mc:Choice>
  </mc:AlternateContent>
  <xr:revisionPtr revIDLastSave="9" documentId="8_{16356D9A-9812-4E92-84B5-BB76A36067DB}" xr6:coauthVersionLast="47" xr6:coauthVersionMax="47" xr10:uidLastSave="{7AF423CD-B6FE-47C8-983B-C9D9E72F2337}"/>
  <bookViews>
    <workbookView xWindow="-105" yWindow="0" windowWidth="29010" windowHeight="15585" firstSheet="1" activeTab="1" xr2:uid="{8192B0F3-7108-40F4-B51C-E093F489D9A9}"/>
  </bookViews>
  <sheets>
    <sheet name="Core digital business" sheetId="7" state="hidden" r:id="rId1"/>
    <sheet name="Main" sheetId="8" r:id="rId2"/>
    <sheet name="P&amp;L" sheetId="2" r:id="rId3"/>
    <sheet name="Balance" sheetId="3" r:id="rId4"/>
    <sheet name="Cash flow" sheetId="4" r:id="rId5"/>
    <sheet name="IFRS 16" sheetId="5" r:id="rId6"/>
    <sheet name="Key figures" sheetId="1" r:id="rId7"/>
    <sheet name="Shareholders" sheetId="6" r:id="rId8"/>
  </sheets>
  <definedNames>
    <definedName name="Periode">#REF!</definedName>
    <definedName name="_xlnm.Print_Area" localSheetId="6">'Key figures'!$A$1:$A$54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2" i="5" l="1"/>
  <c r="AJ22" i="5"/>
  <c r="AI22" i="5"/>
  <c r="AH22" i="5"/>
  <c r="AG22" i="5"/>
  <c r="AF22" i="5"/>
  <c r="AE22" i="5"/>
  <c r="AK21" i="5"/>
  <c r="AJ21" i="5"/>
  <c r="AI21" i="5"/>
  <c r="AH21" i="5"/>
  <c r="AG21" i="5"/>
  <c r="AF21" i="5"/>
  <c r="AE21" i="5"/>
  <c r="AK20" i="5"/>
  <c r="AJ20" i="5"/>
  <c r="AI20" i="5"/>
  <c r="AH20" i="5"/>
  <c r="AH23" i="5" s="1"/>
  <c r="AF20" i="5"/>
  <c r="AF23" i="5" s="1"/>
  <c r="AE20" i="5"/>
  <c r="AE23" i="5" s="1"/>
  <c r="AH18" i="5"/>
  <c r="AE15" i="5"/>
  <c r="AF15" i="5"/>
  <c r="AG15" i="5"/>
  <c r="AH15" i="5"/>
  <c r="AI15" i="5"/>
  <c r="AJ15" i="5"/>
  <c r="AK15" i="5"/>
  <c r="AE16" i="5"/>
  <c r="AF16" i="5"/>
  <c r="AG16" i="5"/>
  <c r="AH16" i="5"/>
  <c r="AI16" i="5"/>
  <c r="AJ16" i="5"/>
  <c r="AK16" i="5"/>
  <c r="AE17" i="5"/>
  <c r="AF17" i="5"/>
  <c r="AG17" i="5"/>
  <c r="AH17" i="5"/>
  <c r="AI17" i="5"/>
  <c r="AJ17" i="5"/>
  <c r="AK17" i="5"/>
  <c r="AK14" i="5"/>
  <c r="AJ14" i="5"/>
  <c r="AI14" i="5"/>
  <c r="AH14" i="5"/>
  <c r="AG14" i="5"/>
  <c r="AF14" i="5"/>
  <c r="AE14" i="5"/>
  <c r="AK8" i="5"/>
  <c r="AJ8" i="5"/>
  <c r="AH8" i="5"/>
  <c r="AG8" i="5"/>
  <c r="AK7" i="5"/>
  <c r="AJ7" i="5"/>
  <c r="AH7" i="5"/>
  <c r="AG7" i="5"/>
  <c r="AK6" i="5"/>
  <c r="AJ6" i="5"/>
  <c r="AI6" i="5"/>
  <c r="AH6" i="5"/>
  <c r="AH9" i="5" s="1"/>
  <c r="AG6" i="5"/>
  <c r="AK11" i="5"/>
  <c r="AJ11" i="5"/>
  <c r="AE11" i="5"/>
  <c r="AK10" i="5"/>
  <c r="AJ10" i="5"/>
  <c r="AG10" i="5"/>
  <c r="AE10" i="5"/>
  <c r="AE9" i="5"/>
  <c r="AE7" i="5"/>
  <c r="AE8" i="5"/>
  <c r="AE6" i="5"/>
  <c r="AI11" i="2"/>
  <c r="AH11" i="2"/>
  <c r="AG11" i="2"/>
  <c r="AF11" i="2"/>
  <c r="AE11" i="2"/>
  <c r="AG21" i="2"/>
  <c r="AF21" i="2"/>
  <c r="AE21" i="2"/>
  <c r="AK18" i="5" l="1"/>
  <c r="AI18" i="5"/>
  <c r="AF18" i="5"/>
  <c r="AJ23" i="5"/>
  <c r="AK9" i="5"/>
  <c r="AJ18" i="5"/>
  <c r="AE18" i="5"/>
  <c r="AI23" i="5"/>
  <c r="AG18" i="5"/>
  <c r="AK23" i="5"/>
  <c r="AG9" i="5"/>
  <c r="AJ9" i="5"/>
  <c r="J49" i="3" l="1"/>
  <c r="J14" i="3" l="1"/>
  <c r="I14" i="3"/>
  <c r="H14" i="3"/>
  <c r="G14" i="3"/>
  <c r="F14" i="3"/>
  <c r="E14" i="3"/>
  <c r="D14" i="3"/>
  <c r="C14" i="3"/>
  <c r="B14" i="3"/>
  <c r="J23" i="3"/>
  <c r="I23" i="3"/>
  <c r="I25" i="3" s="1"/>
  <c r="H23" i="3"/>
  <c r="G23" i="3"/>
  <c r="F23" i="3"/>
  <c r="E23" i="3"/>
  <c r="D23" i="3"/>
  <c r="C23" i="3"/>
  <c r="B23" i="3"/>
  <c r="J25" i="3"/>
  <c r="B25" i="3"/>
  <c r="J33" i="3"/>
  <c r="I33" i="3"/>
  <c r="H33" i="3"/>
  <c r="G33" i="3"/>
  <c r="F33" i="3"/>
  <c r="E33" i="3"/>
  <c r="D33" i="3"/>
  <c r="C33" i="3"/>
  <c r="B33" i="3"/>
  <c r="J41" i="3"/>
  <c r="I41" i="3"/>
  <c r="H41" i="3"/>
  <c r="G41" i="3"/>
  <c r="F41" i="3"/>
  <c r="E41" i="3"/>
  <c r="D41" i="3"/>
  <c r="C41" i="3"/>
  <c r="B41" i="3"/>
  <c r="J50" i="3"/>
  <c r="I50" i="3"/>
  <c r="H50" i="3"/>
  <c r="G50" i="3"/>
  <c r="F50" i="3"/>
  <c r="E50" i="3"/>
  <c r="D50" i="3"/>
  <c r="C50" i="3"/>
  <c r="B50" i="3"/>
  <c r="Z23" i="5"/>
  <c r="AA23" i="5"/>
  <c r="AB23" i="5"/>
  <c r="AC23" i="5"/>
  <c r="Z18" i="5"/>
  <c r="AA18" i="5"/>
  <c r="AB18" i="5"/>
  <c r="AC18" i="5"/>
  <c r="Z9" i="5"/>
  <c r="AA9" i="5"/>
  <c r="AB9" i="5"/>
  <c r="AC9" i="5"/>
  <c r="AE39" i="4"/>
  <c r="Z50" i="3"/>
  <c r="Y50" i="3"/>
  <c r="X50" i="3"/>
  <c r="W50" i="3"/>
  <c r="V50" i="3"/>
  <c r="T50" i="3"/>
  <c r="S50" i="3"/>
  <c r="R50" i="3"/>
  <c r="Q50" i="3"/>
  <c r="P50" i="3"/>
  <c r="O50" i="3"/>
  <c r="N50" i="3"/>
  <c r="L50" i="3"/>
  <c r="K50" i="3"/>
  <c r="Z41" i="3"/>
  <c r="Y41" i="3"/>
  <c r="X41" i="3"/>
  <c r="W41" i="3"/>
  <c r="V41" i="3"/>
  <c r="U41" i="3"/>
  <c r="T41" i="3"/>
  <c r="S41" i="3"/>
  <c r="Q41" i="3"/>
  <c r="P41" i="3"/>
  <c r="O41" i="3"/>
  <c r="N41" i="3"/>
  <c r="M41" i="3"/>
  <c r="L41" i="3"/>
  <c r="L52" i="3" s="1"/>
  <c r="K41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N23" i="3"/>
  <c r="M23" i="3"/>
  <c r="L23" i="3"/>
  <c r="K23" i="3"/>
  <c r="Z14" i="3"/>
  <c r="Y14" i="3"/>
  <c r="X14" i="3"/>
  <c r="W14" i="3"/>
  <c r="V14" i="3"/>
  <c r="T14" i="3"/>
  <c r="S14" i="3"/>
  <c r="R14" i="3"/>
  <c r="Q14" i="3"/>
  <c r="P14" i="3"/>
  <c r="O14" i="3"/>
  <c r="N14" i="3"/>
  <c r="L14" i="3"/>
  <c r="L25" i="3" s="1"/>
  <c r="K14" i="3"/>
  <c r="I52" i="3" l="1"/>
  <c r="G25" i="3"/>
  <c r="B52" i="3"/>
  <c r="B54" i="3" s="1"/>
  <c r="AK15" i="4"/>
  <c r="AK28" i="4"/>
  <c r="AK21" i="2"/>
  <c r="AI6" i="4"/>
  <c r="AF7" i="4"/>
  <c r="AH7" i="4"/>
  <c r="AE8" i="4"/>
  <c r="AG8" i="4"/>
  <c r="AI8" i="4"/>
  <c r="AF9" i="4"/>
  <c r="AH9" i="4"/>
  <c r="AE10" i="4"/>
  <c r="AG10" i="4"/>
  <c r="AI10" i="4"/>
  <c r="AF11" i="4"/>
  <c r="AH11" i="4"/>
  <c r="AE12" i="4"/>
  <c r="AG12" i="4"/>
  <c r="AI12" i="4"/>
  <c r="AF13" i="4"/>
  <c r="AH13" i="4"/>
  <c r="AE14" i="4"/>
  <c r="AG14" i="4"/>
  <c r="AI14" i="4"/>
  <c r="AF15" i="4"/>
  <c r="AH15" i="4"/>
  <c r="AE16" i="4"/>
  <c r="AG16" i="4"/>
  <c r="AI16" i="4"/>
  <c r="AF17" i="4"/>
  <c r="AH17" i="4"/>
  <c r="AE18" i="4"/>
  <c r="AG18" i="4"/>
  <c r="AI18" i="4"/>
  <c r="AF21" i="4"/>
  <c r="AH21" i="4"/>
  <c r="AE22" i="4"/>
  <c r="AG22" i="4"/>
  <c r="AI22" i="4"/>
  <c r="AF23" i="4"/>
  <c r="AH23" i="4"/>
  <c r="AE24" i="4"/>
  <c r="AG24" i="4"/>
  <c r="AI24" i="4"/>
  <c r="AF27" i="4"/>
  <c r="AH27" i="4"/>
  <c r="AI30" i="4"/>
  <c r="AF31" i="4"/>
  <c r="AH31" i="4"/>
  <c r="AE32" i="4"/>
  <c r="AG32" i="4"/>
  <c r="AI32" i="4"/>
  <c r="AF33" i="4"/>
  <c r="AH33" i="4"/>
  <c r="AE34" i="4"/>
  <c r="AG34" i="4"/>
  <c r="AI34" i="4"/>
  <c r="AF36" i="4"/>
  <c r="AK29" i="4"/>
  <c r="AK31" i="4"/>
  <c r="AK33" i="4"/>
  <c r="AK36" i="4"/>
  <c r="AK6" i="4"/>
  <c r="AK8" i="4"/>
  <c r="AK10" i="4"/>
  <c r="AK12" i="4"/>
  <c r="AE6" i="2"/>
  <c r="AG6" i="2"/>
  <c r="AF7" i="2"/>
  <c r="AE8" i="2"/>
  <c r="AG8" i="2"/>
  <c r="AF9" i="2"/>
  <c r="AH6" i="2"/>
  <c r="AJ6" i="2"/>
  <c r="AI7" i="2"/>
  <c r="O23" i="3"/>
  <c r="O25" i="3" s="1"/>
  <c r="W23" i="3"/>
  <c r="H25" i="3"/>
  <c r="AE7" i="4"/>
  <c r="AG7" i="4"/>
  <c r="AI7" i="4"/>
  <c r="AF8" i="4"/>
  <c r="AH8" i="4"/>
  <c r="AE9" i="4"/>
  <c r="AG9" i="4"/>
  <c r="AI9" i="4"/>
  <c r="AF10" i="4"/>
  <c r="AH10" i="4"/>
  <c r="AE11" i="4"/>
  <c r="AG11" i="4"/>
  <c r="AI11" i="4"/>
  <c r="AF12" i="4"/>
  <c r="AH12" i="4"/>
  <c r="AE13" i="4"/>
  <c r="AG13" i="4"/>
  <c r="AI13" i="4"/>
  <c r="AF14" i="4"/>
  <c r="AH14" i="4"/>
  <c r="AK30" i="4"/>
  <c r="AK32" i="4"/>
  <c r="AH6" i="4"/>
  <c r="AG14" i="2"/>
  <c r="AE18" i="2"/>
  <c r="AI18" i="2"/>
  <c r="AI19" i="2"/>
  <c r="AG20" i="2"/>
  <c r="AH21" i="2"/>
  <c r="AH24" i="2"/>
  <c r="AF25" i="2"/>
  <c r="AH35" i="2"/>
  <c r="AF6" i="2"/>
  <c r="AE7" i="2"/>
  <c r="AG7" i="2"/>
  <c r="AF8" i="2"/>
  <c r="AE9" i="2"/>
  <c r="AG9" i="2"/>
  <c r="AI6" i="2"/>
  <c r="AH7" i="2"/>
  <c r="AJ7" i="2"/>
  <c r="AI8" i="2"/>
  <c r="AH9" i="2"/>
  <c r="AJ9" i="2"/>
  <c r="S23" i="3"/>
  <c r="AE28" i="4"/>
  <c r="AG28" i="4"/>
  <c r="AI28" i="4"/>
  <c r="AF29" i="4"/>
  <c r="AH29" i="4"/>
  <c r="AE30" i="4"/>
  <c r="AG30" i="4"/>
  <c r="AH36" i="4"/>
  <c r="AK16" i="4"/>
  <c r="AK27" i="4"/>
  <c r="AK25" i="2"/>
  <c r="AE6" i="4"/>
  <c r="AG6" i="4"/>
  <c r="AF14" i="2"/>
  <c r="AH14" i="2"/>
  <c r="AJ14" i="2"/>
  <c r="AF18" i="2"/>
  <c r="AH18" i="2"/>
  <c r="AJ18" i="2"/>
  <c r="AF19" i="2"/>
  <c r="AH19" i="2"/>
  <c r="AJ19" i="2"/>
  <c r="AF20" i="2"/>
  <c r="AH20" i="2"/>
  <c r="AJ20" i="2"/>
  <c r="AI21" i="2"/>
  <c r="AE24" i="2"/>
  <c r="AG24" i="2"/>
  <c r="AI24" i="2"/>
  <c r="AE25" i="2"/>
  <c r="AG25" i="2"/>
  <c r="AI25" i="2"/>
  <c r="AE26" i="2"/>
  <c r="AG26" i="2"/>
  <c r="AI26" i="2"/>
  <c r="AE29" i="2"/>
  <c r="AG29" i="2"/>
  <c r="AI29" i="2"/>
  <c r="AE31" i="2"/>
  <c r="AG31" i="2"/>
  <c r="AI31" i="2"/>
  <c r="AE35" i="2"/>
  <c r="AG35" i="2"/>
  <c r="AI35" i="2"/>
  <c r="AE36" i="2"/>
  <c r="AG36" i="2"/>
  <c r="AI36" i="2"/>
  <c r="AE37" i="2"/>
  <c r="AG37" i="2"/>
  <c r="AI37" i="2"/>
  <c r="AE38" i="2"/>
  <c r="AG38" i="2"/>
  <c r="AI38" i="2"/>
  <c r="AE39" i="2"/>
  <c r="AG39" i="2"/>
  <c r="AI39" i="2"/>
  <c r="AE44" i="2"/>
  <c r="AG44" i="2"/>
  <c r="AI44" i="2"/>
  <c r="AE47" i="2"/>
  <c r="AG47" i="2"/>
  <c r="AI47" i="2"/>
  <c r="AE53" i="2"/>
  <c r="AG53" i="2"/>
  <c r="AI53" i="2"/>
  <c r="AJ7" i="4"/>
  <c r="AJ9" i="4"/>
  <c r="AJ11" i="4"/>
  <c r="AJ13" i="4"/>
  <c r="AJ15" i="4"/>
  <c r="AJ17" i="4"/>
  <c r="AJ21" i="4"/>
  <c r="AJ23" i="4"/>
  <c r="AJ27" i="4"/>
  <c r="AJ29" i="4"/>
  <c r="AJ31" i="4"/>
  <c r="AJ33" i="4"/>
  <c r="AJ36" i="4"/>
  <c r="AK47" i="2"/>
  <c r="AK21" i="4"/>
  <c r="AH8" i="2"/>
  <c r="AH10" i="2" s="1"/>
  <c r="AH15" i="2" s="1"/>
  <c r="AH16" i="2" s="1"/>
  <c r="AJ8" i="2"/>
  <c r="AI9" i="2"/>
  <c r="AJ11" i="2"/>
  <c r="P23" i="3"/>
  <c r="P25" i="3" s="1"/>
  <c r="X23" i="3"/>
  <c r="AE15" i="4"/>
  <c r="AG15" i="4"/>
  <c r="AI15" i="4"/>
  <c r="AF16" i="4"/>
  <c r="AH16" i="4"/>
  <c r="AE17" i="4"/>
  <c r="AG17" i="4"/>
  <c r="AI17" i="4"/>
  <c r="AF18" i="4"/>
  <c r="AH18" i="4"/>
  <c r="AE21" i="4"/>
  <c r="AG21" i="4"/>
  <c r="AI21" i="4"/>
  <c r="AF22" i="4"/>
  <c r="AH22" i="4"/>
  <c r="AE23" i="4"/>
  <c r="AG23" i="4"/>
  <c r="AI23" i="4"/>
  <c r="AF24" i="4"/>
  <c r="AH24" i="4"/>
  <c r="AE27" i="4"/>
  <c r="AG27" i="4"/>
  <c r="AI27" i="4"/>
  <c r="AF28" i="4"/>
  <c r="AH28" i="4"/>
  <c r="AE29" i="4"/>
  <c r="AG29" i="4"/>
  <c r="AI29" i="4"/>
  <c r="AF30" i="4"/>
  <c r="AH30" i="4"/>
  <c r="AE31" i="4"/>
  <c r="AG31" i="4"/>
  <c r="AI31" i="4"/>
  <c r="AF32" i="4"/>
  <c r="AH32" i="4"/>
  <c r="AE33" i="4"/>
  <c r="AG33" i="4"/>
  <c r="AI33" i="4"/>
  <c r="AF34" i="4"/>
  <c r="AH34" i="4"/>
  <c r="AE36" i="4"/>
  <c r="AG36" i="4"/>
  <c r="AI36" i="4"/>
  <c r="AK34" i="4"/>
  <c r="AF6" i="4"/>
  <c r="AK7" i="4"/>
  <c r="AK9" i="4"/>
  <c r="AK11" i="4"/>
  <c r="AK13" i="4"/>
  <c r="AE14" i="2"/>
  <c r="AI14" i="2"/>
  <c r="AG18" i="2"/>
  <c r="AE19" i="2"/>
  <c r="AG19" i="2"/>
  <c r="AE20" i="2"/>
  <c r="AI20" i="2"/>
  <c r="AJ21" i="2"/>
  <c r="AF24" i="2"/>
  <c r="AJ24" i="2"/>
  <c r="AH25" i="2"/>
  <c r="AJ25" i="2"/>
  <c r="AF26" i="2"/>
  <c r="AH26" i="2"/>
  <c r="AJ26" i="2"/>
  <c r="AF29" i="2"/>
  <c r="AH29" i="2"/>
  <c r="AJ29" i="2"/>
  <c r="AF31" i="2"/>
  <c r="AH31" i="2"/>
  <c r="AJ31" i="2"/>
  <c r="AF35" i="2"/>
  <c r="AJ35" i="2"/>
  <c r="AF36" i="2"/>
  <c r="AH36" i="2"/>
  <c r="AJ36" i="2"/>
  <c r="AF37" i="2"/>
  <c r="AH37" i="2"/>
  <c r="AJ37" i="2"/>
  <c r="AF38" i="2"/>
  <c r="AH38" i="2"/>
  <c r="AJ38" i="2"/>
  <c r="AF39" i="2"/>
  <c r="AH39" i="2"/>
  <c r="AJ39" i="2"/>
  <c r="AF44" i="2"/>
  <c r="AH44" i="2"/>
  <c r="AJ44" i="2"/>
  <c r="AF47" i="2"/>
  <c r="AH47" i="2"/>
  <c r="AJ47" i="2"/>
  <c r="AF53" i="2"/>
  <c r="AH53" i="2"/>
  <c r="AJ53" i="2"/>
  <c r="AJ6" i="4"/>
  <c r="AJ8" i="4"/>
  <c r="AJ10" i="4"/>
  <c r="AJ12" i="4"/>
  <c r="AJ14" i="4"/>
  <c r="AJ16" i="4"/>
  <c r="AJ18" i="4"/>
  <c r="AJ22" i="4"/>
  <c r="AJ24" i="4"/>
  <c r="AJ28" i="4"/>
  <c r="AJ30" i="4"/>
  <c r="AJ32" i="4"/>
  <c r="AJ34" i="4"/>
  <c r="AK22" i="4"/>
  <c r="J52" i="3"/>
  <c r="J54" i="3" s="1"/>
  <c r="U23" i="3"/>
  <c r="V52" i="3"/>
  <c r="V54" i="3" s="1"/>
  <c r="D25" i="3"/>
  <c r="V23" i="3"/>
  <c r="V25" i="3" s="1"/>
  <c r="E52" i="3"/>
  <c r="E54" i="3" s="1"/>
  <c r="E55" i="3" s="1"/>
  <c r="D52" i="3"/>
  <c r="D54" i="3" s="1"/>
  <c r="F25" i="3"/>
  <c r="E25" i="3"/>
  <c r="I54" i="3"/>
  <c r="I55" i="3" s="1"/>
  <c r="G52" i="3"/>
  <c r="G54" i="3" s="1"/>
  <c r="G55" i="3" s="1"/>
  <c r="J55" i="3"/>
  <c r="T23" i="3"/>
  <c r="T25" i="3" s="1"/>
  <c r="U50" i="3"/>
  <c r="U52" i="3" s="1"/>
  <c r="U54" i="3" s="1"/>
  <c r="M14" i="3"/>
  <c r="M25" i="3" s="1"/>
  <c r="Y23" i="3"/>
  <c r="Y25" i="3" s="1"/>
  <c r="Z33" i="3"/>
  <c r="R23" i="3"/>
  <c r="R25" i="3" s="1"/>
  <c r="Z23" i="3"/>
  <c r="Z25" i="3" s="1"/>
  <c r="H52" i="3"/>
  <c r="H54" i="3" s="1"/>
  <c r="H55" i="3" s="1"/>
  <c r="M50" i="3"/>
  <c r="M52" i="3" s="1"/>
  <c r="M54" i="3" s="1"/>
  <c r="U14" i="3"/>
  <c r="Q23" i="3"/>
  <c r="Q25" i="3" s="1"/>
  <c r="R41" i="3"/>
  <c r="R52" i="3" s="1"/>
  <c r="R54" i="3" s="1"/>
  <c r="Z35" i="4"/>
  <c r="AC25" i="4"/>
  <c r="AA35" i="4"/>
  <c r="N52" i="3"/>
  <c r="N54" i="3" s="1"/>
  <c r="N25" i="3"/>
  <c r="O52" i="3"/>
  <c r="O54" i="3" s="1"/>
  <c r="W52" i="3"/>
  <c r="W54" i="3" s="1"/>
  <c r="W25" i="3"/>
  <c r="P52" i="3"/>
  <c r="P54" i="3" s="1"/>
  <c r="X52" i="3"/>
  <c r="X54" i="3" s="1"/>
  <c r="X25" i="3"/>
  <c r="Q52" i="3"/>
  <c r="Q54" i="3" s="1"/>
  <c r="Y52" i="3"/>
  <c r="Y54" i="3" s="1"/>
  <c r="Z52" i="3"/>
  <c r="L54" i="3"/>
  <c r="T52" i="3"/>
  <c r="T54" i="3" s="1"/>
  <c r="L7" i="6"/>
  <c r="AA19" i="4"/>
  <c r="AC35" i="4"/>
  <c r="F52" i="3"/>
  <c r="F54" i="3" s="1"/>
  <c r="C25" i="3"/>
  <c r="K25" i="3"/>
  <c r="S25" i="3"/>
  <c r="B55" i="3"/>
  <c r="C52" i="3"/>
  <c r="C54" i="3" s="1"/>
  <c r="K52" i="3"/>
  <c r="K54" i="3" s="1"/>
  <c r="S52" i="3"/>
  <c r="S54" i="3" s="1"/>
  <c r="K7" i="6"/>
  <c r="J7" i="6"/>
  <c r="AB19" i="4"/>
  <c r="AC19" i="4"/>
  <c r="AB25" i="4"/>
  <c r="AA25" i="4"/>
  <c r="AB35" i="4"/>
  <c r="AE10" i="2" l="1"/>
  <c r="AK35" i="4"/>
  <c r="D55" i="3"/>
  <c r="C55" i="3"/>
  <c r="U25" i="3"/>
  <c r="AF22" i="2"/>
  <c r="Z54" i="3"/>
  <c r="AF10" i="2"/>
  <c r="AF32" i="2" s="1"/>
  <c r="AA38" i="4"/>
  <c r="AF40" i="2"/>
  <c r="AF42" i="2" s="1"/>
  <c r="AF46" i="2" s="1"/>
  <c r="AF48" i="2" s="1"/>
  <c r="AF54" i="2" s="1"/>
  <c r="AF57" i="2" s="1"/>
  <c r="AG10" i="2"/>
  <c r="AG15" i="2" s="1"/>
  <c r="AG16" i="2" s="1"/>
  <c r="AF19" i="4"/>
  <c r="AH25" i="4"/>
  <c r="AF25" i="4"/>
  <c r="AJ40" i="2"/>
  <c r="AE35" i="4"/>
  <c r="AI25" i="4"/>
  <c r="AH19" i="4"/>
  <c r="AE19" i="4"/>
  <c r="AJ10" i="2"/>
  <c r="AJ15" i="2" s="1"/>
  <c r="AJ16" i="2" s="1"/>
  <c r="AE22" i="2"/>
  <c r="AE40" i="2"/>
  <c r="AE42" i="2" s="1"/>
  <c r="AE46" i="2" s="1"/>
  <c r="AE48" i="2" s="1"/>
  <c r="AE54" i="2" s="1"/>
  <c r="AE57" i="2" s="1"/>
  <c r="AG19" i="4"/>
  <c r="AH27" i="2"/>
  <c r="AH35" i="4"/>
  <c r="AF35" i="4"/>
  <c r="AI19" i="4"/>
  <c r="AI22" i="2"/>
  <c r="AG25" i="4"/>
  <c r="AE27" i="2"/>
  <c r="AE25" i="4"/>
  <c r="AE30" i="2"/>
  <c r="AI35" i="4"/>
  <c r="AH22" i="2"/>
  <c r="AG35" i="4"/>
  <c r="AJ19" i="4"/>
  <c r="AE15" i="2"/>
  <c r="AE16" i="2" s="1"/>
  <c r="AE32" i="2"/>
  <c r="AJ32" i="2"/>
  <c r="AJ42" i="2"/>
  <c r="AJ46" i="2" s="1"/>
  <c r="AJ48" i="2" s="1"/>
  <c r="AJ54" i="2" s="1"/>
  <c r="AJ57" i="2" s="1"/>
  <c r="AH30" i="2"/>
  <c r="AI40" i="2"/>
  <c r="AI42" i="2" s="1"/>
  <c r="AI46" i="2" s="1"/>
  <c r="AI48" i="2" s="1"/>
  <c r="AI54" i="2" s="1"/>
  <c r="AI57" i="2" s="1"/>
  <c r="AJ25" i="4"/>
  <c r="AH32" i="2"/>
  <c r="AJ35" i="4"/>
  <c r="AG40" i="2"/>
  <c r="AG42" i="2" s="1"/>
  <c r="AG46" i="2" s="1"/>
  <c r="AG48" i="2" s="1"/>
  <c r="AG54" i="2" s="1"/>
  <c r="AG57" i="2" s="1"/>
  <c r="AH40" i="2"/>
  <c r="AH42" i="2" s="1"/>
  <c r="AH46" i="2" s="1"/>
  <c r="AH48" i="2" s="1"/>
  <c r="AH54" i="2" s="1"/>
  <c r="AH57" i="2" s="1"/>
  <c r="AG22" i="2"/>
  <c r="AJ22" i="2"/>
  <c r="AI10" i="2"/>
  <c r="AI15" i="2" s="1"/>
  <c r="AI16" i="2" s="1"/>
  <c r="F55" i="3"/>
  <c r="AC38" i="4"/>
  <c r="AB38" i="4"/>
  <c r="V23" i="5"/>
  <c r="W23" i="5"/>
  <c r="X23" i="5"/>
  <c r="Y23" i="5"/>
  <c r="V18" i="5"/>
  <c r="W18" i="5"/>
  <c r="X18" i="5"/>
  <c r="Y18" i="5"/>
  <c r="V9" i="5"/>
  <c r="W9" i="5"/>
  <c r="X9" i="5"/>
  <c r="Y9" i="5"/>
  <c r="AF30" i="2" l="1"/>
  <c r="AF15" i="2"/>
  <c r="AF16" i="2" s="1"/>
  <c r="AG32" i="2"/>
  <c r="AH38" i="4"/>
  <c r="AG30" i="2"/>
  <c r="AG27" i="2"/>
  <c r="AF27" i="2"/>
  <c r="AF38" i="4"/>
  <c r="AI38" i="4"/>
  <c r="AG38" i="4"/>
  <c r="AI32" i="2"/>
  <c r="AJ38" i="4"/>
  <c r="AE38" i="4"/>
  <c r="AE40" i="4" s="1"/>
  <c r="AF39" i="4" s="1"/>
  <c r="AJ27" i="2"/>
  <c r="AJ30" i="2"/>
  <c r="AI30" i="2"/>
  <c r="AI27" i="2"/>
  <c r="Q40" i="2"/>
  <c r="O40" i="2"/>
  <c r="I40" i="2"/>
  <c r="G40" i="2"/>
  <c r="F40" i="2"/>
  <c r="E40" i="2"/>
  <c r="C40" i="2"/>
  <c r="AF40" i="4" l="1"/>
  <c r="AG39" i="4" s="1"/>
  <c r="AG40" i="4" s="1"/>
  <c r="AH39" i="4" s="1"/>
  <c r="AH40" i="4" s="1"/>
  <c r="AI39" i="4" s="1"/>
  <c r="AI40" i="4" s="1"/>
  <c r="AJ39" i="4" s="1"/>
  <c r="AJ40" i="4" s="1"/>
  <c r="AK39" i="4" s="1"/>
  <c r="H40" i="2"/>
  <c r="D40" i="2"/>
  <c r="P40" i="2"/>
  <c r="B40" i="2"/>
  <c r="N40" i="2"/>
  <c r="R55" i="3" l="1"/>
  <c r="L55" i="3"/>
  <c r="N55" i="3"/>
  <c r="K55" i="3"/>
  <c r="P55" i="3"/>
  <c r="M55" i="3"/>
  <c r="Q55" i="3"/>
  <c r="S10" i="5"/>
  <c r="S8" i="5"/>
  <c r="S7" i="5"/>
  <c r="T10" i="5" l="1"/>
  <c r="AI10" i="5"/>
  <c r="T7" i="5"/>
  <c r="AI7" i="5"/>
  <c r="T8" i="5"/>
  <c r="AI8" i="5"/>
  <c r="O55" i="3"/>
  <c r="S10" i="2"/>
  <c r="S27" i="2" l="1"/>
  <c r="S30" i="2"/>
  <c r="S32" i="2"/>
  <c r="AI9" i="5"/>
  <c r="U23" i="5"/>
  <c r="T23" i="5"/>
  <c r="S23" i="5"/>
  <c r="R23" i="5"/>
  <c r="R18" i="5"/>
  <c r="S18" i="5"/>
  <c r="T18" i="5"/>
  <c r="U18" i="5"/>
  <c r="U9" i="5"/>
  <c r="T9" i="5"/>
  <c r="S9" i="5"/>
  <c r="S11" i="5" s="1"/>
  <c r="R9" i="5"/>
  <c r="R11" i="5" s="1"/>
  <c r="T11" i="5" l="1"/>
  <c r="AI11" i="5" s="1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U35" i="4"/>
  <c r="R35" i="4"/>
  <c r="S35" i="4"/>
  <c r="T35" i="4"/>
  <c r="L19" i="4" l="1"/>
  <c r="D19" i="4"/>
  <c r="T19" i="4"/>
  <c r="T38" i="4" s="1"/>
  <c r="H19" i="4"/>
  <c r="G19" i="4"/>
  <c r="I19" i="4"/>
  <c r="Q19" i="4"/>
  <c r="F19" i="4"/>
  <c r="N19" i="4"/>
  <c r="R19" i="4"/>
  <c r="R38" i="4" s="1"/>
  <c r="B19" i="4"/>
  <c r="P19" i="4"/>
  <c r="J19" i="4"/>
  <c r="O19" i="4"/>
  <c r="C19" i="4"/>
  <c r="K19" i="4"/>
  <c r="S19" i="4"/>
  <c r="S38" i="4" s="1"/>
  <c r="E19" i="4"/>
  <c r="M19" i="4"/>
  <c r="U19" i="4"/>
  <c r="U38" i="4" s="1"/>
  <c r="Q9" i="5" l="1"/>
  <c r="Q11" i="5" s="1"/>
  <c r="N18" i="5" l="1"/>
  <c r="M18" i="5"/>
  <c r="L18" i="5"/>
  <c r="K18" i="5"/>
  <c r="J18" i="5"/>
  <c r="I18" i="5"/>
  <c r="H18" i="5"/>
  <c r="G18" i="5"/>
  <c r="F18" i="5"/>
  <c r="E18" i="5"/>
  <c r="D18" i="5"/>
  <c r="C18" i="5"/>
  <c r="B18" i="5"/>
  <c r="Q18" i="5"/>
  <c r="P18" i="5"/>
  <c r="O18" i="5"/>
  <c r="O10" i="5"/>
  <c r="H10" i="5"/>
  <c r="I10" i="5" l="1"/>
  <c r="AF10" i="5" s="1"/>
  <c r="P10" i="5"/>
  <c r="AH10" i="5" s="1"/>
  <c r="P9" i="5"/>
  <c r="P11" i="5" s="1"/>
  <c r="Q23" i="5" l="1"/>
  <c r="P23" i="5"/>
  <c r="O9" i="5"/>
  <c r="O11" i="5" s="1"/>
  <c r="Q35" i="4"/>
  <c r="Q38" i="4" s="1"/>
  <c r="P35" i="4"/>
  <c r="P38" i="4" s="1"/>
  <c r="O35" i="4"/>
  <c r="O38" i="4" s="1"/>
  <c r="N35" i="4"/>
  <c r="N38" i="4" s="1"/>
  <c r="N23" i="5"/>
  <c r="N9" i="5"/>
  <c r="N11" i="5" s="1"/>
  <c r="AH11" i="5" s="1"/>
  <c r="M20" i="5" l="1"/>
  <c r="AG20" i="5" s="1"/>
  <c r="AG23" i="5" s="1"/>
  <c r="M10" i="2" l="1"/>
  <c r="M23" i="5"/>
  <c r="M9" i="5"/>
  <c r="M11" i="5" s="1"/>
  <c r="N56" i="3"/>
  <c r="M56" i="3"/>
  <c r="M30" i="2" l="1"/>
  <c r="M32" i="2"/>
  <c r="M27" i="2"/>
  <c r="I7" i="6"/>
  <c r="I35" i="4"/>
  <c r="I38" i="4" s="1"/>
  <c r="D35" i="4"/>
  <c r="D38" i="4" s="1"/>
  <c r="E35" i="4"/>
  <c r="E38" i="4" s="1"/>
  <c r="F35" i="4"/>
  <c r="F38" i="4" s="1"/>
  <c r="K35" i="4"/>
  <c r="K38" i="4" s="1"/>
  <c r="L35" i="4"/>
  <c r="L38" i="4" s="1"/>
  <c r="M35" i="4"/>
  <c r="M38" i="4" s="1"/>
  <c r="H35" i="4"/>
  <c r="H38" i="4" s="1"/>
  <c r="B35" i="4"/>
  <c r="B38" i="4" s="1"/>
  <c r="J35" i="4"/>
  <c r="J38" i="4" s="1"/>
  <c r="C35" i="4"/>
  <c r="C38" i="4" s="1"/>
  <c r="G35" i="4"/>
  <c r="G38" i="4" s="1"/>
  <c r="B40" i="4" l="1"/>
  <c r="C39" i="4" s="1"/>
  <c r="C40" i="4" s="1"/>
  <c r="D39" i="4" s="1"/>
  <c r="D40" i="4" l="1"/>
  <c r="E39" i="4" s="1"/>
  <c r="L10" i="2"/>
  <c r="L27" i="2" l="1"/>
  <c r="L30" i="2"/>
  <c r="L32" i="2"/>
  <c r="E40" i="4"/>
  <c r="F39" i="4" s="1"/>
  <c r="L23" i="5"/>
  <c r="K23" i="5"/>
  <c r="J23" i="5"/>
  <c r="L9" i="5"/>
  <c r="L11" i="5" s="1"/>
  <c r="K9" i="5"/>
  <c r="K11" i="5" s="1"/>
  <c r="J9" i="5"/>
  <c r="J11" i="5" s="1"/>
  <c r="AG11" i="5" s="1"/>
  <c r="F40" i="4" l="1"/>
  <c r="G39" i="4" s="1"/>
  <c r="K56" i="3"/>
  <c r="G40" i="4" l="1"/>
  <c r="H39" i="4" s="1"/>
  <c r="L56" i="3"/>
  <c r="H40" i="4" l="1"/>
  <c r="I39" i="4" s="1"/>
  <c r="C10" i="2"/>
  <c r="J22" i="2"/>
  <c r="K22" i="2"/>
  <c r="M15" i="2"/>
  <c r="M16" i="2" s="1"/>
  <c r="M22" i="2"/>
  <c r="L15" i="2"/>
  <c r="L16" i="2" s="1"/>
  <c r="L22" i="2"/>
  <c r="K10" i="2"/>
  <c r="B10" i="2"/>
  <c r="D10" i="2"/>
  <c r="E10" i="2"/>
  <c r="F10" i="2"/>
  <c r="I10" i="2"/>
  <c r="J10" i="2"/>
  <c r="G10" i="2"/>
  <c r="H10" i="2"/>
  <c r="H32" i="2" l="1"/>
  <c r="H27" i="2"/>
  <c r="H30" i="2"/>
  <c r="K30" i="2"/>
  <c r="K32" i="2"/>
  <c r="K27" i="2"/>
  <c r="E30" i="2"/>
  <c r="E32" i="2"/>
  <c r="E27" i="2"/>
  <c r="G30" i="2"/>
  <c r="G32" i="2"/>
  <c r="G27" i="2"/>
  <c r="J27" i="2"/>
  <c r="J32" i="2"/>
  <c r="J30" i="2"/>
  <c r="I30" i="2"/>
  <c r="I32" i="2"/>
  <c r="I27" i="2"/>
  <c r="F30" i="2"/>
  <c r="F27" i="2"/>
  <c r="F32" i="2"/>
  <c r="D27" i="2"/>
  <c r="D32" i="2"/>
  <c r="D30" i="2"/>
  <c r="B32" i="2"/>
  <c r="B30" i="2"/>
  <c r="B27" i="2"/>
  <c r="C30" i="2"/>
  <c r="C32" i="2"/>
  <c r="C27" i="2"/>
  <c r="K15" i="2"/>
  <c r="K16" i="2" s="1"/>
  <c r="I40" i="4"/>
  <c r="J39" i="4" s="1"/>
  <c r="J15" i="2"/>
  <c r="J16" i="2" s="1"/>
  <c r="J40" i="4" l="1"/>
  <c r="K39" i="4" s="1"/>
  <c r="I23" i="5"/>
  <c r="K40" i="4" l="1"/>
  <c r="L39" i="4" s="1"/>
  <c r="L40" i="4" l="1"/>
  <c r="M39" i="4" s="1"/>
  <c r="H23" i="5"/>
  <c r="M40" i="4" l="1"/>
  <c r="N39" i="4" s="1"/>
  <c r="H8" i="5"/>
  <c r="H7" i="5"/>
  <c r="I7" i="5" l="1"/>
  <c r="AF7" i="5"/>
  <c r="I8" i="5"/>
  <c r="AF8" i="5"/>
  <c r="N40" i="4"/>
  <c r="O39" i="4" s="1"/>
  <c r="G23" i="5"/>
  <c r="G6" i="5"/>
  <c r="O40" i="4" l="1"/>
  <c r="P39" i="4" s="1"/>
  <c r="G9" i="5"/>
  <c r="H6" i="5"/>
  <c r="H9" i="5" s="1"/>
  <c r="H11" i="5" s="1"/>
  <c r="P40" i="4" l="1"/>
  <c r="I6" i="5"/>
  <c r="I9" i="5" l="1"/>
  <c r="I11" i="5" s="1"/>
  <c r="AF11" i="5" s="1"/>
  <c r="AF6" i="5"/>
  <c r="AF9" i="5" s="1"/>
  <c r="Q39" i="4"/>
  <c r="Q40" i="4" s="1"/>
  <c r="R39" i="4" s="1"/>
  <c r="R40" i="4" s="1"/>
  <c r="G28" i="7"/>
  <c r="G31" i="7"/>
  <c r="F9" i="5"/>
  <c r="F23" i="5"/>
  <c r="S39" i="4" l="1"/>
  <c r="S40" i="4" s="1"/>
  <c r="D7" i="6"/>
  <c r="C7" i="6"/>
  <c r="B7" i="6"/>
  <c r="T39" i="4" l="1"/>
  <c r="T40" i="4" s="1"/>
  <c r="U39" i="4" s="1"/>
  <c r="U40" i="4" s="1"/>
  <c r="V39" i="4" l="1"/>
  <c r="E31" i="7"/>
  <c r="B28" i="7"/>
  <c r="B31" i="7"/>
  <c r="C28" i="7" l="1"/>
  <c r="C31" i="7"/>
  <c r="E28" i="7"/>
  <c r="D28" i="7" l="1"/>
  <c r="D31" i="7"/>
  <c r="H31" i="7" l="1"/>
  <c r="H28" i="7" l="1"/>
  <c r="I31" i="7" l="1"/>
  <c r="I28" i="7"/>
  <c r="F31" i="7"/>
  <c r="F28" i="7" l="1"/>
  <c r="M31" i="7" l="1"/>
  <c r="M28" i="7" l="1"/>
  <c r="J31" i="7" l="1"/>
  <c r="J28" i="7"/>
  <c r="K31" i="7" l="1"/>
  <c r="K28" i="7"/>
  <c r="L31" i="7" l="1"/>
  <c r="L28" i="7" l="1"/>
  <c r="O20" i="5" l="1"/>
  <c r="O23" i="5" s="1"/>
  <c r="F22" i="2" l="1"/>
  <c r="F15" i="2"/>
  <c r="F16" i="2" s="1"/>
  <c r="G22" i="2"/>
  <c r="G15" i="2"/>
  <c r="G16" i="2" s="1"/>
  <c r="I22" i="2"/>
  <c r="I15" i="2"/>
  <c r="I16" i="2" s="1"/>
  <c r="H22" i="2"/>
  <c r="H15" i="2"/>
  <c r="H16" i="2" s="1"/>
  <c r="T10" i="2" l="1"/>
  <c r="U10" i="2"/>
  <c r="T27" i="2" l="1"/>
  <c r="T32" i="2"/>
  <c r="T30" i="2"/>
  <c r="U30" i="2"/>
  <c r="U32" i="2"/>
  <c r="U27" i="2"/>
  <c r="O22" i="2"/>
  <c r="N10" i="2" l="1"/>
  <c r="O10" i="2"/>
  <c r="P22" i="2"/>
  <c r="P10" i="2"/>
  <c r="N22" i="2"/>
  <c r="P32" i="2" l="1"/>
  <c r="P27" i="2"/>
  <c r="P30" i="2"/>
  <c r="O30" i="2"/>
  <c r="O32" i="2"/>
  <c r="O27" i="2"/>
  <c r="N30" i="2"/>
  <c r="N27" i="2"/>
  <c r="N32" i="2"/>
  <c r="N15" i="2"/>
  <c r="N16" i="2" s="1"/>
  <c r="O15" i="2"/>
  <c r="O16" i="2" s="1"/>
  <c r="P15" i="2"/>
  <c r="P16" i="2" s="1"/>
  <c r="P56" i="3" l="1"/>
  <c r="O56" i="3" l="1"/>
  <c r="Q56" i="3" l="1"/>
  <c r="Q10" i="2" l="1"/>
  <c r="Q30" i="2" l="1"/>
  <c r="Q27" i="2"/>
  <c r="Q32" i="2"/>
  <c r="Q15" i="2"/>
  <c r="Q16" i="2" s="1"/>
  <c r="Q22" i="2" l="1"/>
  <c r="R10" i="2" l="1"/>
  <c r="R30" i="2" l="1"/>
  <c r="R27" i="2"/>
  <c r="R32" i="2"/>
  <c r="R56" i="3"/>
  <c r="J40" i="2" l="1"/>
  <c r="J42" i="2" l="1"/>
  <c r="J46" i="2" l="1"/>
  <c r="J48" i="2" l="1"/>
  <c r="J54" i="2" l="1"/>
  <c r="Q42" i="2" l="1"/>
  <c r="J57" i="2"/>
  <c r="Q46" i="2" l="1"/>
  <c r="Q48" i="2" l="1"/>
  <c r="Q54" i="2" l="1"/>
  <c r="Q57" i="2" l="1"/>
  <c r="K40" i="2" l="1"/>
  <c r="L40" i="2" l="1"/>
  <c r="K42" i="2"/>
  <c r="K46" i="2" l="1"/>
  <c r="M40" i="2"/>
  <c r="L42" i="2"/>
  <c r="L46" i="2" l="1"/>
  <c r="M42" i="2"/>
  <c r="K48" i="2"/>
  <c r="L48" i="2" l="1"/>
  <c r="K54" i="2"/>
  <c r="M46" i="2"/>
  <c r="M48" i="2" l="1"/>
  <c r="L54" i="2"/>
  <c r="K57" i="2"/>
  <c r="L57" i="2" l="1"/>
  <c r="M54" i="2"/>
  <c r="M57" i="2" l="1"/>
  <c r="D22" i="2" l="1"/>
  <c r="D15" i="2"/>
  <c r="D16" i="2" s="1"/>
  <c r="E22" i="2"/>
  <c r="E15" i="2"/>
  <c r="E16" i="2" s="1"/>
  <c r="C22" i="2"/>
  <c r="C15" i="2"/>
  <c r="C16" i="2" s="1"/>
  <c r="C42" i="2" l="1"/>
  <c r="D42" i="2"/>
  <c r="E42" i="2" l="1"/>
  <c r="B15" i="2" l="1"/>
  <c r="B16" i="2" l="1"/>
  <c r="B22" i="2"/>
  <c r="B42" i="2" l="1"/>
  <c r="H42" i="2" l="1"/>
  <c r="I42" i="2"/>
  <c r="H46" i="2" l="1"/>
  <c r="I46" i="2"/>
  <c r="G42" i="2"/>
  <c r="G46" i="2" l="1"/>
  <c r="I48" i="2"/>
  <c r="H48" i="2"/>
  <c r="I54" i="2" l="1"/>
  <c r="F42" i="2"/>
  <c r="H54" i="2"/>
  <c r="G48" i="2"/>
  <c r="H57" i="2" l="1"/>
  <c r="F46" i="2"/>
  <c r="G54" i="2"/>
  <c r="I57" i="2"/>
  <c r="G57" i="2" l="1"/>
  <c r="F48" i="2"/>
  <c r="F54" i="2" l="1"/>
  <c r="F57" i="2" l="1"/>
  <c r="C46" i="2" l="1"/>
  <c r="D46" i="2" l="1"/>
  <c r="C48" i="2" l="1"/>
  <c r="D48" i="2"/>
  <c r="D54" i="2" l="1"/>
  <c r="C54" i="2"/>
  <c r="C57" i="2" l="1"/>
  <c r="D57" i="2"/>
  <c r="E46" i="2" l="1"/>
  <c r="B46" i="2" l="1"/>
  <c r="E48" i="2" l="1"/>
  <c r="E54" i="2" l="1"/>
  <c r="B48" i="2"/>
  <c r="B54" i="2" l="1"/>
  <c r="E57" i="2"/>
  <c r="B57" i="2" l="1"/>
  <c r="N42" i="2" l="1"/>
  <c r="N46" i="2" l="1"/>
  <c r="N48" i="2" l="1"/>
  <c r="N54" i="2" l="1"/>
  <c r="N57" i="2" l="1"/>
  <c r="O42" i="2" l="1"/>
  <c r="O46" i="2" l="1"/>
  <c r="O48" i="2" l="1"/>
  <c r="O54" i="2" l="1"/>
  <c r="O57" i="2" l="1"/>
  <c r="P42" i="2" l="1"/>
  <c r="P46" i="2" l="1"/>
  <c r="P48" i="2" l="1"/>
  <c r="P54" i="2" l="1"/>
  <c r="P57" i="2" l="1"/>
  <c r="W35" i="4" l="1"/>
  <c r="X25" i="4"/>
  <c r="V35" i="4" l="1"/>
  <c r="V19" i="4"/>
  <c r="W25" i="4"/>
  <c r="W19" i="4"/>
  <c r="V25" i="4"/>
  <c r="X19" i="4"/>
  <c r="X35" i="4"/>
  <c r="Y19" i="4"/>
  <c r="Y25" i="4"/>
  <c r="Y35" i="4"/>
  <c r="W38" i="4" l="1"/>
  <c r="V38" i="4"/>
  <c r="Y38" i="4"/>
  <c r="X38" i="4"/>
  <c r="V40" i="4" l="1"/>
  <c r="W39" i="4" s="1"/>
  <c r="W40" i="4" s="1"/>
  <c r="X39" i="4" s="1"/>
  <c r="X40" i="4" s="1"/>
  <c r="Y39" i="4" s="1"/>
  <c r="Y40" i="4" s="1"/>
  <c r="Z39" i="4" s="1"/>
  <c r="W22" i="2" l="1"/>
  <c r="X10" i="2"/>
  <c r="X15" i="2" l="1"/>
  <c r="X16" i="2" s="1"/>
  <c r="X30" i="2"/>
  <c r="X32" i="2"/>
  <c r="X27" i="2"/>
  <c r="V22" i="2"/>
  <c r="X22" i="2"/>
  <c r="V40" i="2"/>
  <c r="V10" i="2"/>
  <c r="W40" i="2"/>
  <c r="W10" i="2"/>
  <c r="X40" i="2"/>
  <c r="V15" i="2" l="1"/>
  <c r="V16" i="2" s="1"/>
  <c r="V32" i="2"/>
  <c r="V30" i="2"/>
  <c r="V27" i="2"/>
  <c r="W15" i="2"/>
  <c r="W16" i="2" s="1"/>
  <c r="W27" i="2"/>
  <c r="W30" i="2"/>
  <c r="W32" i="2"/>
  <c r="Y56" i="3"/>
  <c r="Y55" i="3"/>
  <c r="X56" i="3"/>
  <c r="X55" i="3"/>
  <c r="W56" i="3"/>
  <c r="W55" i="3"/>
  <c r="Y10" i="2" l="1"/>
  <c r="Y30" i="2" l="1"/>
  <c r="Y32" i="2"/>
  <c r="Y27" i="2"/>
  <c r="Y15" i="2"/>
  <c r="Y16" i="2" s="1"/>
  <c r="Y22" i="2" l="1"/>
  <c r="Y40" i="2" l="1"/>
  <c r="Z56" i="3" l="1"/>
  <c r="Z55" i="3"/>
  <c r="T40" i="2"/>
  <c r="S40" i="2"/>
  <c r="R40" i="2" l="1"/>
  <c r="R15" i="2"/>
  <c r="R16" i="2" s="1"/>
  <c r="R22" i="2"/>
  <c r="S22" i="2"/>
  <c r="S15" i="2"/>
  <c r="S16" i="2" s="1"/>
  <c r="T15" i="2"/>
  <c r="T16" i="2" s="1"/>
  <c r="T22" i="2"/>
  <c r="S56" i="3" l="1"/>
  <c r="S55" i="3"/>
  <c r="U56" i="3"/>
  <c r="U55" i="3"/>
  <c r="T56" i="3"/>
  <c r="T55" i="3"/>
  <c r="U15" i="2"/>
  <c r="U16" i="2" s="1"/>
  <c r="U40" i="2" l="1"/>
  <c r="V56" i="3" l="1"/>
  <c r="V55" i="3"/>
  <c r="W42" i="2" l="1"/>
  <c r="W46" i="2" s="1"/>
  <c r="W48" i="2" s="1"/>
  <c r="W54" i="2" s="1"/>
  <c r="W57" i="2" s="1"/>
  <c r="R42" i="2" l="1"/>
  <c r="R46" i="2" s="1"/>
  <c r="R48" i="2" s="1"/>
  <c r="R54" i="2" s="1"/>
  <c r="R57" i="2" s="1"/>
  <c r="T42" i="2"/>
  <c r="T46" i="2" s="1"/>
  <c r="T48" i="2" s="1"/>
  <c r="T54" i="2" s="1"/>
  <c r="T57" i="2" s="1"/>
  <c r="S42" i="2"/>
  <c r="S46" i="2" s="1"/>
  <c r="S48" i="2" s="1"/>
  <c r="S54" i="2" s="1"/>
  <c r="S57" i="2" s="1"/>
  <c r="U22" i="2" l="1"/>
  <c r="U42" i="2" l="1"/>
  <c r="U46" i="2" s="1"/>
  <c r="U48" i="2" s="1"/>
  <c r="U54" i="2" s="1"/>
  <c r="U57" i="2" s="1"/>
  <c r="V42" i="2" l="1"/>
  <c r="V46" i="2" s="1"/>
  <c r="V48" i="2" s="1"/>
  <c r="V54" i="2" s="1"/>
  <c r="V57" i="2" s="1"/>
  <c r="X42" i="2" l="1"/>
  <c r="X46" i="2" s="1"/>
  <c r="X48" i="2" s="1"/>
  <c r="X54" i="2" s="1"/>
  <c r="X57" i="2" s="1"/>
  <c r="Y42" i="2" l="1"/>
  <c r="Y46" i="2" s="1"/>
  <c r="Y48" i="2" s="1"/>
  <c r="Y54" i="2" s="1"/>
  <c r="Y57" i="2" s="1"/>
  <c r="AK24" i="4" l="1"/>
  <c r="AK23" i="4" l="1"/>
  <c r="AK25" i="4" s="1"/>
  <c r="Z25" i="4" l="1"/>
  <c r="AK14" i="4" l="1"/>
  <c r="AK17" i="4" l="1"/>
  <c r="AK18" i="4" l="1"/>
  <c r="AK19" i="4" s="1"/>
  <c r="AK38" i="4" s="1"/>
  <c r="AK40" i="4" s="1"/>
  <c r="Z19" i="4" l="1"/>
  <c r="Z38" i="4" s="1"/>
  <c r="Z40" i="4" s="1"/>
  <c r="AA39" i="4" s="1"/>
  <c r="AA40" i="4" s="1"/>
  <c r="AB39" i="4" s="1"/>
  <c r="AB40" i="4" s="1"/>
  <c r="AC39" i="4" s="1"/>
  <c r="AC40" i="4" s="1"/>
  <c r="M7" i="6" l="1"/>
  <c r="AK11" i="2" l="1"/>
  <c r="AK36" i="2" l="1"/>
  <c r="AK7" i="2"/>
  <c r="AK9" i="2" l="1"/>
  <c r="AK8" i="2"/>
  <c r="AK39" i="2" l="1"/>
  <c r="Z10" i="2"/>
  <c r="Z15" i="2" s="1"/>
  <c r="Z16" i="2" s="1"/>
  <c r="AK6" i="2"/>
  <c r="AK10" i="2" s="1"/>
  <c r="AK37" i="2" l="1"/>
  <c r="AK14" i="2"/>
  <c r="AK15" i="2" s="1"/>
  <c r="AK16" i="2" s="1"/>
  <c r="AK18" i="2" l="1"/>
  <c r="AK35" i="2"/>
  <c r="Z27" i="2" l="1"/>
  <c r="AK19" i="2" l="1"/>
  <c r="Z22" i="2" l="1"/>
  <c r="AK26" i="2"/>
  <c r="AK27" i="2" s="1"/>
  <c r="Z30" i="2" l="1"/>
  <c r="AK20" i="2" l="1"/>
  <c r="AK22" i="2" s="1"/>
  <c r="Z32" i="2"/>
  <c r="AK24" i="2" l="1"/>
  <c r="AK29" i="2" l="1"/>
  <c r="AK30" i="2" s="1"/>
  <c r="AK31" i="2" l="1"/>
  <c r="AK32" i="2" s="1"/>
  <c r="Z40" i="2" l="1"/>
  <c r="Z42" i="2" s="1"/>
  <c r="Z46" i="2" s="1"/>
  <c r="Z48" i="2" s="1"/>
  <c r="Z54" i="2" s="1"/>
  <c r="Z57" i="2" s="1"/>
  <c r="AA14" i="3" l="1"/>
  <c r="AK44" i="2" l="1"/>
  <c r="AK38" i="2" l="1"/>
  <c r="AK40" i="2" s="1"/>
  <c r="AK42" i="2" s="1"/>
  <c r="AK46" i="2" s="1"/>
  <c r="AK48" i="2" s="1"/>
  <c r="AA41" i="3" l="1"/>
  <c r="AA33" i="3" l="1"/>
  <c r="AK53" i="2" l="1"/>
  <c r="AK54" i="2" s="1"/>
  <c r="AK57" i="2" s="1"/>
  <c r="AA23" i="3" l="1"/>
  <c r="AA25" i="3" s="1"/>
  <c r="AA50" i="3" l="1"/>
  <c r="AA52" i="3" s="1"/>
  <c r="AA54" i="3" s="1"/>
  <c r="AA56" i="3" s="1"/>
  <c r="AA55" i="3" l="1"/>
</calcChain>
</file>

<file path=xl/sharedStrings.xml><?xml version="1.0" encoding="utf-8"?>
<sst xmlns="http://schemas.openxmlformats.org/spreadsheetml/2006/main" count="473" uniqueCount="237">
  <si>
    <t>Q1</t>
  </si>
  <si>
    <t>Q2</t>
  </si>
  <si>
    <t>Q3</t>
  </si>
  <si>
    <t>Q4</t>
  </si>
  <si>
    <t>Amounts in NOK thousand</t>
  </si>
  <si>
    <t>Sales revenue</t>
  </si>
  <si>
    <t>Operating expenses</t>
  </si>
  <si>
    <t>Cost of sales</t>
  </si>
  <si>
    <t>Gross Profit</t>
  </si>
  <si>
    <t>Gross Margin</t>
  </si>
  <si>
    <t>Personnel expenses</t>
  </si>
  <si>
    <t>Other operating expenses</t>
  </si>
  <si>
    <t>Depreciation and amortisation</t>
  </si>
  <si>
    <t>Total operating expenses</t>
  </si>
  <si>
    <t>EBITDA</t>
  </si>
  <si>
    <t>EBITDA margin</t>
  </si>
  <si>
    <t xml:space="preserve">EBIT </t>
  </si>
  <si>
    <t>EBIT margin</t>
  </si>
  <si>
    <t>Employees</t>
  </si>
  <si>
    <t>Number of employees at the end of the period</t>
  </si>
  <si>
    <t>Average number of employees</t>
  </si>
  <si>
    <t>Operating revenue per employee</t>
  </si>
  <si>
    <t>Gross profit per employee</t>
  </si>
  <si>
    <t>Personnel expenses per employee</t>
  </si>
  <si>
    <t>Other operating expenses per employee</t>
  </si>
  <si>
    <t>EBITDA per employee</t>
  </si>
  <si>
    <t>EBIT per employee</t>
  </si>
  <si>
    <t>Consolidated statement of comprehensive income</t>
  </si>
  <si>
    <t>2015</t>
  </si>
  <si>
    <t>All figures in NOK 1000 except earnings per share</t>
  </si>
  <si>
    <t>Revenue by service:</t>
  </si>
  <si>
    <t>Services</t>
  </si>
  <si>
    <t>Subscriptions</t>
  </si>
  <si>
    <t>3rd party services</t>
  </si>
  <si>
    <t>Other</t>
  </si>
  <si>
    <t>Other financial income</t>
  </si>
  <si>
    <t>Other financial expenses</t>
  </si>
  <si>
    <t>Net financial income (expenses)</t>
  </si>
  <si>
    <t>Profit before taxes</t>
  </si>
  <si>
    <t>Income taxes</t>
  </si>
  <si>
    <t>Net income</t>
  </si>
  <si>
    <t>Translation differences on net investment in foreign operations</t>
  </si>
  <si>
    <t>Total comprehensive income</t>
  </si>
  <si>
    <t>Total comprehensive income attributable to:</t>
  </si>
  <si>
    <t>Shareholders in parent company</t>
  </si>
  <si>
    <t>EBIT</t>
  </si>
  <si>
    <t>Consolidated statement of financial position</t>
  </si>
  <si>
    <t>ASSETS</t>
  </si>
  <si>
    <t>Non-current assets</t>
  </si>
  <si>
    <t>Deferred tax assets</t>
  </si>
  <si>
    <t>Other intangible assets</t>
  </si>
  <si>
    <t>Lease receivable - long term</t>
  </si>
  <si>
    <t>Right-of-use assets</t>
  </si>
  <si>
    <t>Total non-current assets</t>
  </si>
  <si>
    <t>Current assets</t>
  </si>
  <si>
    <t>Accounts receivable</t>
  </si>
  <si>
    <t>Contract assets</t>
  </si>
  <si>
    <t>Lease receivable - short term</t>
  </si>
  <si>
    <t>Other receivables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</si>
  <si>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</si>
  <si>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</si>
  <si>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</si>
  <si>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</si>
  <si>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</si>
  <si>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</si>
  <si>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Own shares</t>
  </si>
  <si>
    <t>Other equity</t>
  </si>
  <si>
    <t>Net income for the period</t>
  </si>
  <si>
    <t>Total equity</t>
  </si>
  <si>
    <t>Other provisions and liabilities</t>
  </si>
  <si>
    <t>Lease liabilities - long-term portion</t>
  </si>
  <si>
    <t>Total non-current liabilities</t>
  </si>
  <si>
    <t>Current liabilities</t>
  </si>
  <si>
    <t>Accounts payable</t>
  </si>
  <si>
    <t>Tax payable</t>
  </si>
  <si>
    <t>Public duties payable</t>
  </si>
  <si>
    <t>Contract liabilities</t>
  </si>
  <si>
    <t>Total current liabilities</t>
  </si>
  <si>
    <t>Total liabilities</t>
  </si>
  <si>
    <t>TOTAL EQUITY AND LIABILITIES</t>
  </si>
  <si>
    <t>Equity ratio</t>
  </si>
  <si>
    <t>Consolidated statement of cash flows</t>
  </si>
  <si>
    <t>Profit from sale of subsidiary</t>
  </si>
  <si>
    <t>Income taxes paid</t>
  </si>
  <si>
    <t xml:space="preserve">Depreciation and amortisation </t>
  </si>
  <si>
    <t>Share option costs</t>
  </si>
  <si>
    <t>Change in accounts receivable</t>
  </si>
  <si>
    <t>Change in accounts payable</t>
  </si>
  <si>
    <t>Change in other accruals</t>
  </si>
  <si>
    <t>Effect of changes in exchange rates</t>
  </si>
  <si>
    <t>Net cash flow from operating activities</t>
  </si>
  <si>
    <t>Payment from sale of fixed assets</t>
  </si>
  <si>
    <t>Investment in fixed assets</t>
  </si>
  <si>
    <t>Investment in intangible assets</t>
  </si>
  <si>
    <t>Net cash flow from investing activities</t>
  </si>
  <si>
    <t>Purchase of own shares</t>
  </si>
  <si>
    <t>Sales of own shares</t>
  </si>
  <si>
    <t>Principal elements of lease payments</t>
  </si>
  <si>
    <t>Dividends paid to equity holders of Itera ASA</t>
  </si>
  <si>
    <t>Net cash flow from financing activities</t>
  </si>
  <si>
    <t>Net change in cash and cash equivalents</t>
  </si>
  <si>
    <t>Cash and cash equivalents at the beginning of the period</t>
  </si>
  <si>
    <t>Cash and cash equivalents at the end of the period</t>
  </si>
  <si>
    <t>Other operating income</t>
  </si>
  <si>
    <t>Lease liabilities - short-term</t>
  </si>
  <si>
    <t>Key figures</t>
  </si>
  <si>
    <t>Gross profit</t>
  </si>
  <si>
    <t>Operating profit (EBIT)</t>
  </si>
  <si>
    <t>Bank deposits</t>
  </si>
  <si>
    <t>Other current assets</t>
  </si>
  <si>
    <t>Total assets</t>
  </si>
  <si>
    <t>Current ratio</t>
  </si>
  <si>
    <t>Net cash flow</t>
  </si>
  <si>
    <t>Number of shares</t>
  </si>
  <si>
    <t>Weighted average basic shares outstanding</t>
  </si>
  <si>
    <t>Weighted average diluted shares outstanding</t>
  </si>
  <si>
    <t>Equity per share</t>
  </si>
  <si>
    <t>Dividend per share</t>
  </si>
  <si>
    <t>Nearshore ratio</t>
  </si>
  <si>
    <t>Top 10 customer share</t>
  </si>
  <si>
    <t>2016</t>
  </si>
  <si>
    <t>2017</t>
  </si>
  <si>
    <t>2018</t>
  </si>
  <si>
    <t>2019</t>
  </si>
  <si>
    <t>2020</t>
  </si>
  <si>
    <t>Dividend</t>
  </si>
  <si>
    <t>Share buy-back</t>
  </si>
  <si>
    <t>Sum</t>
  </si>
  <si>
    <t>Weighted average basic shares outstanding (million)</t>
  </si>
  <si>
    <t>Continuing operations</t>
  </si>
  <si>
    <t>Net income from continuing operations</t>
  </si>
  <si>
    <t>Net income from discontinued operations</t>
  </si>
  <si>
    <t>Earnings per share (continuing operations)</t>
  </si>
  <si>
    <t>Fully diluted earnings per share (continuing operations)</t>
  </si>
  <si>
    <t>Property, plant and equipment</t>
  </si>
  <si>
    <t>Other long term receivables</t>
  </si>
  <si>
    <t>Contract costs</t>
  </si>
  <si>
    <t>Lease liabilities - short term</t>
  </si>
  <si>
    <t>Other current liabilities</t>
  </si>
  <si>
    <t>Operating revenue</t>
  </si>
  <si>
    <t>Net income incl. discont. operations</t>
  </si>
  <si>
    <t>Cash settlement of options contract</t>
  </si>
  <si>
    <t>Equity settlement of options contract</t>
  </si>
  <si>
    <t>(Profit)/loss from sale of assets</t>
  </si>
  <si>
    <t>Change in contract assets</t>
  </si>
  <si>
    <t>Instalment of sublease receivable</t>
  </si>
  <si>
    <t>Effects of exchange rate changes on cash</t>
  </si>
  <si>
    <t>Profit before tax</t>
  </si>
  <si>
    <t>R&amp;D</t>
  </si>
  <si>
    <t>Long-term interest bearing debt</t>
  </si>
  <si>
    <t>Current portion of long term debt</t>
  </si>
  <si>
    <t>Foreign exchange (gains) / losses</t>
  </si>
  <si>
    <t>Long term borrowings</t>
  </si>
  <si>
    <t>Adjusted EBIT margin</t>
  </si>
  <si>
    <t>Adjusted operating profit (EBIT)</t>
  </si>
  <si>
    <t>20201-3</t>
  </si>
  <si>
    <t>20204-6</t>
  </si>
  <si>
    <t>20207-9</t>
  </si>
  <si>
    <t>202010-12</t>
  </si>
  <si>
    <t>20211-3</t>
  </si>
  <si>
    <t>20214-6</t>
  </si>
  <si>
    <t>20217-9</t>
  </si>
  <si>
    <t>202110-12</t>
  </si>
  <si>
    <t>20221-3</t>
  </si>
  <si>
    <t>20224-6</t>
  </si>
  <si>
    <t>20227-9</t>
  </si>
  <si>
    <t>202210-12</t>
  </si>
  <si>
    <t>20231-3</t>
  </si>
  <si>
    <t>20234-6</t>
  </si>
  <si>
    <t>20237-9</t>
  </si>
  <si>
    <t>202310-12</t>
  </si>
  <si>
    <t>20241-3</t>
  </si>
  <si>
    <t>20244-6</t>
  </si>
  <si>
    <t>20247-9</t>
  </si>
  <si>
    <t>202410-12</t>
  </si>
  <si>
    <t>2023</t>
  </si>
  <si>
    <t>Impairment of financial assets</t>
  </si>
  <si>
    <t>Of which non-recurring items</t>
  </si>
  <si>
    <t>Adjusted EBITDA</t>
  </si>
  <si>
    <t>Adjusted EBITDA margin</t>
  </si>
  <si>
    <t>Adjusted operating profit (Adj. EBIT)</t>
  </si>
  <si>
    <t>Deferred tax liabilities</t>
  </si>
  <si>
    <t>Interest expense</t>
  </si>
  <si>
    <t>Interest paid</t>
  </si>
  <si>
    <t>Investment in subsidiaries net of cash</t>
  </si>
  <si>
    <t>Interest income</t>
  </si>
  <si>
    <t>Interest expenses</t>
  </si>
  <si>
    <t>20251-3</t>
  </si>
  <si>
    <t>20254-6</t>
  </si>
  <si>
    <t>20257-9</t>
  </si>
  <si>
    <t>202510-12</t>
  </si>
  <si>
    <t>Earnings per share</t>
  </si>
  <si>
    <t>Diluted earnings per share</t>
  </si>
  <si>
    <t>EBITDA per share</t>
  </si>
  <si>
    <t>No. of employees at the end of the period</t>
  </si>
  <si>
    <t>20261-3</t>
  </si>
  <si>
    <t>20264-6</t>
  </si>
  <si>
    <t>20267-9</t>
  </si>
  <si>
    <t>202610-12</t>
  </si>
  <si>
    <t>Net sales revenue</t>
  </si>
  <si>
    <t>Operating expenses:</t>
  </si>
  <si>
    <t>Financial income (expenses):</t>
  </si>
  <si>
    <t>31. Dec</t>
  </si>
  <si>
    <t>31. Mar</t>
  </si>
  <si>
    <t>30. Jun</t>
  </si>
  <si>
    <t>30. Sep</t>
  </si>
  <si>
    <t>Equity:</t>
  </si>
  <si>
    <t>Non-current liabilities:</t>
  </si>
  <si>
    <t>Total non-current liabilities:</t>
  </si>
  <si>
    <t>INCOME STATEMENT:</t>
  </si>
  <si>
    <t>FINANCIAL POSITION:</t>
  </si>
  <si>
    <t>Impacts of IFRS 16 included in financial statements</t>
  </si>
  <si>
    <t>Figures in NOK thousands</t>
  </si>
  <si>
    <t>Profit &amp; Loss continuing operations:</t>
  </si>
  <si>
    <t>Balance sheet:</t>
  </si>
  <si>
    <t>Cash flow:</t>
  </si>
  <si>
    <t>Share information:</t>
  </si>
  <si>
    <t>Employees:</t>
  </si>
  <si>
    <t>FY</t>
  </si>
  <si>
    <t>YTD</t>
  </si>
  <si>
    <t>Shareholder remuneration</t>
  </si>
  <si>
    <t>Figures in NOK 1000</t>
  </si>
  <si>
    <t>Figures in NOK thousand</t>
  </si>
  <si>
    <t>Ticker:</t>
  </si>
  <si>
    <t>ITERA</t>
  </si>
  <si>
    <t>Web site:</t>
  </si>
  <si>
    <t>www.itera.com</t>
  </si>
  <si>
    <t>IR contacts:</t>
  </si>
  <si>
    <t>Bent Hammer</t>
  </si>
  <si>
    <t>CFO:</t>
  </si>
  <si>
    <t>bent.hammer@itera.com</t>
  </si>
  <si>
    <t>Tel. +47 982 15 497</t>
  </si>
  <si>
    <t>Communications:</t>
  </si>
  <si>
    <t>Helene Dahl Jørum</t>
  </si>
  <si>
    <t>helene.dahl.jorum@itera.com</t>
  </si>
  <si>
    <t>Tel. +47 930 44 796</t>
  </si>
  <si>
    <t>2026YTD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</si>
</sst>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\ %"/>
    <numFmt numFmtId="166" formatCode="_ * #,##0_ ;_ * \-#,##0_ ;_ * &quot;-&quot;??_ ;_ @_ "/>
    <numFmt numFmtId="167" formatCode="_-* #,##0.00_ _k_r_-;\-* #,##0.00_ _k_r_-;_-* &quot;-&quot;??_ _k_r_-;_-@_-"/>
    <numFmt numFmtId="168" formatCode="0.0%"/>
    <numFmt numFmtId="169" formatCode="#,##0.0"/>
  </numFmts>
  <fonts count="33">
    <font>
      <sz val="11"/>
      <color theme="1"/>
      <name val="IBM Plex Sans"/>
      <family val="2"/>
      <scheme val="minor"/>
    </font>
    <font>
      <sz val="11"/>
      <color theme="1"/>
      <name val="IBM Plex Sans"/>
      <family val="2"/>
      <scheme val="minor"/>
    </font>
    <font>
      <sz val="10"/>
      <name val="Arial"/>
      <family val="2"/>
    </font>
    <font>
      <sz val="9"/>
      <name val="Geneva"/>
    </font>
    <font>
      <sz val="9"/>
      <name val="IBM Plex Sans"/>
      <family val="2"/>
      <scheme val="minor"/>
    </font>
    <font>
      <sz val="11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sz val="8"/>
      <name val="IBM Plex Sans"/>
      <family val="2"/>
      <scheme val="minor"/>
    </font>
    <font>
      <b/>
      <sz val="8"/>
      <color theme="3"/>
      <name val="IBM Plex Sans"/>
      <family val="2"/>
    </font>
    <font>
      <sz val="10"/>
      <name val="Geneva"/>
    </font>
    <font>
      <sz val="11"/>
      <color theme="0"/>
      <name val="IBM Plex Sans"/>
      <family val="2"/>
      <scheme val="minor"/>
    </font>
    <font>
      <b/>
      <sz val="11"/>
      <name val="IBM Plex Sans"/>
      <family val="2"/>
      <scheme val="minor"/>
    </font>
    <font>
      <sz val="9"/>
      <color theme="1"/>
      <name val="IBM Plex Sans"/>
      <family val="2"/>
      <scheme val="minor"/>
    </font>
    <font>
      <sz val="10"/>
      <color theme="1"/>
      <name val="IBM Plex Sans"/>
      <family val="2"/>
      <scheme val="minor"/>
    </font>
    <font>
      <sz val="8"/>
      <color rgb="FF00B9E4"/>
      <name val="IBM Plex Sans"/>
      <family val="2"/>
      <scheme val="minor"/>
    </font>
    <font>
      <b/>
      <sz val="8"/>
      <color theme="3"/>
      <name val="IBM Plex Sans"/>
      <family val="2"/>
      <scheme val="minor"/>
    </font>
    <font>
      <sz val="8"/>
      <color theme="1"/>
      <name val="IBM Plex Sans"/>
      <family val="2"/>
      <scheme val="minor"/>
    </font>
    <font>
      <b/>
      <sz val="8"/>
      <color theme="1"/>
      <name val="IBM Plex Sans"/>
      <family val="2"/>
      <scheme val="minor"/>
    </font>
    <font>
      <b/>
      <sz val="8"/>
      <name val="IBM Plex Sans"/>
      <family val="2"/>
      <scheme val="minor"/>
    </font>
    <font>
      <sz val="10"/>
      <name val="IBM Plex Sans"/>
      <family val="2"/>
      <scheme val="minor"/>
    </font>
    <font>
      <i/>
      <sz val="8"/>
      <color theme="1"/>
      <name val="IBM Plex Sans"/>
      <family val="2"/>
      <scheme val="minor"/>
    </font>
    <font>
      <sz val="10"/>
      <color rgb="FF333333"/>
      <name val="IBM Plex Sans"/>
      <family val="2"/>
      <scheme val="minor"/>
    </font>
    <font>
      <b/>
      <sz val="10"/>
      <color theme="1"/>
      <name val="IBM Plex Sans"/>
      <family val="2"/>
      <scheme val="minor"/>
    </font>
    <font>
      <b/>
      <sz val="9"/>
      <name val="IBM Plex Sans"/>
      <family val="2"/>
      <scheme val="minor"/>
    </font>
    <font>
      <b/>
      <sz val="10"/>
      <name val="IBM Plex Sans"/>
      <family val="2"/>
      <scheme val="minor"/>
    </font>
    <font>
      <sz val="9"/>
      <color theme="0"/>
      <name val="IBM Plex Sans"/>
      <family val="2"/>
      <scheme val="minor"/>
    </font>
    <font>
      <i/>
      <sz val="8"/>
      <name val="IBM Plex Sans"/>
      <family val="2"/>
      <scheme val="minor"/>
    </font>
    <font>
      <i/>
      <sz val="10"/>
      <name val="IBM Plex Sans"/>
      <family val="2"/>
      <scheme val="minor"/>
    </font>
    <font>
      <sz val="8"/>
      <color theme="0"/>
      <name val="IBM Plex Sans"/>
      <family val="2"/>
      <scheme val="minor"/>
    </font>
    <font>
      <b/>
      <sz val="18"/>
      <name val="IBM Plex Sans"/>
      <family val="2"/>
      <scheme val="minor"/>
    </font>
    <font>
      <b/>
      <sz val="18"/>
      <color theme="1"/>
      <name val="IBM Plex Sans"/>
      <family val="2"/>
      <scheme val="minor"/>
    </font>
    <font>
      <u/>
      <sz val="11"/>
      <color theme="10"/>
      <name val="IBM Plex Sans"/>
      <family val="2"/>
      <scheme val="minor"/>
    </font>
    <font>
      <u/>
      <sz val="11"/>
      <color theme="1"/>
      <name val="IBM Plex San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0" fontId="31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3" fontId="0" fillId="0" borderId="0" xfId="0" applyNumberFormat="1"/>
    <xf numFmtId="0" fontId="6" fillId="0" borderId="0" xfId="0" applyFont="1"/>
    <xf numFmtId="0" fontId="0" fillId="3" borderId="0" xfId="0" applyFill="1"/>
    <xf numFmtId="0" fontId="8" fillId="3" borderId="0" xfId="0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65" fontId="0" fillId="0" borderId="0" xfId="2" applyNumberFormat="1" applyFon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right"/>
    </xf>
    <xf numFmtId="49" fontId="13" fillId="0" borderId="0" xfId="0" applyNumberFormat="1" applyFont="1"/>
    <xf numFmtId="0" fontId="17" fillId="0" borderId="0" xfId="0" applyFont="1"/>
    <xf numFmtId="3" fontId="17" fillId="0" borderId="0" xfId="1" applyNumberFormat="1" applyFont="1" applyFill="1" applyBorder="1"/>
    <xf numFmtId="0" fontId="16" fillId="0" borderId="0" xfId="0" applyFont="1"/>
    <xf numFmtId="166" fontId="16" fillId="0" borderId="0" xfId="1" applyNumberFormat="1" applyFont="1" applyFill="1" applyBorder="1"/>
    <xf numFmtId="166" fontId="12" fillId="0" borderId="0" xfId="1" applyNumberFormat="1" applyFont="1" applyFill="1"/>
    <xf numFmtId="165" fontId="12" fillId="0" borderId="0" xfId="2" applyNumberFormat="1" applyFont="1" applyFill="1"/>
    <xf numFmtId="9" fontId="21" fillId="0" borderId="0" xfId="2" applyFont="1" applyFill="1"/>
    <xf numFmtId="3" fontId="16" fillId="0" borderId="0" xfId="1" applyNumberFormat="1" applyFont="1" applyFill="1" applyBorder="1"/>
    <xf numFmtId="168" fontId="16" fillId="0" borderId="0" xfId="2" applyNumberFormat="1" applyFont="1" applyFill="1" applyBorder="1"/>
    <xf numFmtId="164" fontId="17" fillId="0" borderId="0" xfId="1" applyFont="1" applyFill="1" applyBorder="1"/>
    <xf numFmtId="49" fontId="18" fillId="0" borderId="0" xfId="0" quotePrefix="1" applyNumberFormat="1" applyFont="1" applyAlignment="1">
      <alignment horizontal="right"/>
    </xf>
    <xf numFmtId="0" fontId="19" fillId="0" borderId="0" xfId="0" applyFont="1"/>
    <xf numFmtId="3" fontId="16" fillId="0" borderId="0" xfId="0" applyNumberFormat="1" applyFont="1"/>
    <xf numFmtId="0" fontId="20" fillId="0" borderId="0" xfId="0" applyFont="1"/>
    <xf numFmtId="0" fontId="22" fillId="0" borderId="0" xfId="0" applyFont="1"/>
    <xf numFmtId="49" fontId="14" fillId="2" borderId="0" xfId="0" applyNumberFormat="1" applyFont="1" applyFill="1"/>
    <xf numFmtId="0" fontId="18" fillId="2" borderId="0" xfId="0" applyFont="1" applyFill="1" applyAlignment="1">
      <alignment horizontal="right"/>
    </xf>
    <xf numFmtId="49" fontId="18" fillId="2" borderId="0" xfId="0" quotePrefix="1" applyNumberFormat="1" applyFont="1" applyFill="1" applyAlignment="1">
      <alignment horizontal="right"/>
    </xf>
    <xf numFmtId="0" fontId="7" fillId="0" borderId="0" xfId="0" applyFont="1"/>
    <xf numFmtId="0" fontId="23" fillId="0" borderId="0" xfId="0" applyFont="1"/>
    <xf numFmtId="16" fontId="18" fillId="0" borderId="0" xfId="0" applyNumberFormat="1" applyFont="1" applyAlignment="1">
      <alignment horizontal="right"/>
    </xf>
    <xf numFmtId="0" fontId="18" fillId="0" borderId="0" xfId="0" applyFont="1"/>
    <xf numFmtId="3" fontId="7" fillId="0" borderId="0" xfId="0" applyNumberFormat="1" applyFont="1"/>
    <xf numFmtId="3" fontId="7" fillId="0" borderId="0" xfId="1" applyNumberFormat="1" applyFont="1" applyFill="1" applyBorder="1"/>
    <xf numFmtId="3" fontId="18" fillId="0" borderId="0" xfId="1" applyNumberFormat="1" applyFont="1" applyFill="1" applyBorder="1"/>
    <xf numFmtId="0" fontId="24" fillId="0" borderId="0" xfId="0" applyFont="1"/>
    <xf numFmtId="0" fontId="4" fillId="0" borderId="0" xfId="0" applyFont="1"/>
    <xf numFmtId="3" fontId="18" fillId="0" borderId="0" xfId="0" applyNumberFormat="1" applyFont="1"/>
    <xf numFmtId="3" fontId="4" fillId="0" borderId="0" xfId="0" applyNumberFormat="1" applyFont="1"/>
    <xf numFmtId="3" fontId="19" fillId="0" borderId="0" xfId="0" applyNumberFormat="1" applyFont="1"/>
    <xf numFmtId="0" fontId="7" fillId="2" borderId="0" xfId="0" applyFont="1" applyFill="1"/>
    <xf numFmtId="0" fontId="25" fillId="0" borderId="0" xfId="0" applyFont="1"/>
    <xf numFmtId="0" fontId="10" fillId="0" borderId="0" xfId="0" applyFont="1"/>
    <xf numFmtId="0" fontId="11" fillId="0" borderId="0" xfId="0" applyFont="1"/>
    <xf numFmtId="0" fontId="4" fillId="2" borderId="0" xfId="0" applyFont="1" applyFill="1"/>
    <xf numFmtId="164" fontId="16" fillId="0" borderId="0" xfId="1" applyFont="1" applyBorder="1"/>
    <xf numFmtId="168" fontId="26" fillId="0" borderId="0" xfId="2" applyNumberFormat="1" applyFont="1" applyFill="1" applyBorder="1"/>
    <xf numFmtId="168" fontId="7" fillId="0" borderId="0" xfId="2" applyNumberFormat="1" applyFont="1" applyFill="1" applyBorder="1"/>
    <xf numFmtId="169" fontId="7" fillId="0" borderId="0" xfId="1" applyNumberFormat="1" applyFont="1" applyFill="1" applyBorder="1"/>
    <xf numFmtId="164" fontId="7" fillId="0" borderId="0" xfId="1" applyFont="1" applyFill="1" applyBorder="1"/>
    <xf numFmtId="0" fontId="18" fillId="0" borderId="0" xfId="0" applyFont="1" applyAlignment="1">
      <alignment horizontal="right"/>
    </xf>
    <xf numFmtId="49" fontId="19" fillId="0" borderId="0" xfId="0" applyNumberFormat="1" applyFont="1"/>
    <xf numFmtId="0" fontId="26" fillId="0" borderId="0" xfId="0" applyFont="1"/>
    <xf numFmtId="0" fontId="27" fillId="0" borderId="0" xfId="0" applyFont="1"/>
    <xf numFmtId="168" fontId="27" fillId="0" borderId="0" xfId="2" applyNumberFormat="1" applyFont="1" applyFill="1" applyBorder="1"/>
    <xf numFmtId="168" fontId="19" fillId="0" borderId="0" xfId="2" applyNumberFormat="1" applyFont="1" applyFill="1" applyBorder="1"/>
    <xf numFmtId="165" fontId="19" fillId="0" borderId="0" xfId="2" applyNumberFormat="1" applyFont="1" applyFill="1" applyBorder="1"/>
    <xf numFmtId="9" fontId="19" fillId="0" borderId="0" xfId="2" applyFont="1" applyFill="1" applyBorder="1"/>
    <xf numFmtId="0" fontId="28" fillId="0" borderId="0" xfId="0" applyFont="1"/>
    <xf numFmtId="49" fontId="7" fillId="2" borderId="0" xfId="0" applyNumberFormat="1" applyFont="1" applyFill="1"/>
    <xf numFmtId="0" fontId="17" fillId="2" borderId="0" xfId="0" applyFont="1" applyFill="1"/>
    <xf numFmtId="0" fontId="17" fillId="2" borderId="0" xfId="0" applyFont="1" applyFill="1" applyAlignment="1">
      <alignment horizontal="right"/>
    </xf>
    <xf numFmtId="164" fontId="16" fillId="0" borderId="0" xfId="1" applyFont="1"/>
    <xf numFmtId="0" fontId="17" fillId="0" borderId="2" xfId="0" applyFont="1" applyBorder="1"/>
    <xf numFmtId="164" fontId="17" fillId="0" borderId="2" xfId="1" applyFont="1" applyBorder="1"/>
    <xf numFmtId="164" fontId="17" fillId="0" borderId="0" xfId="1" applyFont="1"/>
    <xf numFmtId="166" fontId="13" fillId="0" borderId="0" xfId="0" applyNumberFormat="1" applyFont="1"/>
    <xf numFmtId="0" fontId="29" fillId="0" borderId="0" xfId="0" applyFont="1"/>
    <xf numFmtId="0" fontId="5" fillId="2" borderId="0" xfId="0" applyFont="1" applyFill="1"/>
    <xf numFmtId="0" fontId="26" fillId="2" borderId="0" xfId="0" applyFont="1" applyFill="1"/>
    <xf numFmtId="49" fontId="18" fillId="2" borderId="1" xfId="0" quotePrefix="1" applyNumberFormat="1" applyFont="1" applyFill="1" applyBorder="1" applyAlignment="1">
      <alignment horizontal="right"/>
    </xf>
    <xf numFmtId="0" fontId="30" fillId="0" borderId="0" xfId="0" applyFont="1"/>
    <xf numFmtId="0" fontId="20" fillId="2" borderId="0" xfId="0" applyFont="1" applyFill="1"/>
    <xf numFmtId="168" fontId="7" fillId="0" borderId="0" xfId="2" applyNumberFormat="1" applyFont="1" applyBorder="1"/>
    <xf numFmtId="0" fontId="18" fillId="4" borderId="0" xfId="0" applyFont="1" applyFill="1" applyAlignment="1">
      <alignment horizontal="right"/>
    </xf>
    <xf numFmtId="49" fontId="18" fillId="4" borderId="0" xfId="0" quotePrefix="1" applyNumberFormat="1" applyFont="1" applyFill="1" applyAlignment="1">
      <alignment horizontal="right"/>
    </xf>
    <xf numFmtId="16" fontId="18" fillId="4" borderId="0" xfId="0" applyNumberFormat="1" applyFont="1" applyFill="1" applyAlignment="1">
      <alignment horizontal="right"/>
    </xf>
    <xf numFmtId="3" fontId="7" fillId="4" borderId="0" xfId="0" applyNumberFormat="1" applyFont="1" applyFill="1"/>
    <xf numFmtId="3" fontId="7" fillId="4" borderId="0" xfId="1" applyNumberFormat="1" applyFont="1" applyFill="1" applyBorder="1"/>
    <xf numFmtId="0" fontId="19" fillId="4" borderId="0" xfId="0" applyFont="1" applyFill="1"/>
    <xf numFmtId="3" fontId="18" fillId="4" borderId="0" xfId="1" applyNumberFormat="1" applyFont="1" applyFill="1" applyBorder="1"/>
    <xf numFmtId="0" fontId="4" fillId="4" borderId="0" xfId="0" applyFont="1" applyFill="1"/>
    <xf numFmtId="168" fontId="7" fillId="4" borderId="0" xfId="2" applyNumberFormat="1" applyFont="1" applyFill="1" applyBorder="1"/>
    <xf numFmtId="0" fontId="31" fillId="0" borderId="0" xfId="9"/>
    <xf numFmtId="0" fontId="32" fillId="0" borderId="0" xfId="0" applyFont="1"/>
  </cellXfs>
  <cellStyles count="10">
    <cellStyle name="Comma" xfId="1" builtinId="3"/>
    <cellStyle name="Comma 2" xfId="4" xr:uid="{418846F0-D9EE-493B-B4A9-57601605B3A8}"/>
    <cellStyle name="Hyperlink" xfId="9" builtinId="8"/>
    <cellStyle name="Normal" xfId="0" builtinId="0"/>
    <cellStyle name="Normal 3" xfId="3" xr:uid="{F779BBEE-C366-4990-B755-D11AD0042F03}"/>
    <cellStyle name="Normal 3 2" xfId="6" xr:uid="{DD543848-2A1C-4DE8-B7DE-C18B41F0ACFF}"/>
    <cellStyle name="Normal 5" xfId="8" xr:uid="{04E5518B-AA1F-4E26-B926-19A8D580E490}"/>
    <cellStyle name="Normal 8" xfId="7" xr:uid="{3BE0C873-1CDF-4C87-B924-6BDB6A1B95BB}"/>
    <cellStyle name="Percent" xfId="2" builtinId="5"/>
    <cellStyle name="Percent 2" xfId="5" xr:uid="{003A0F4B-AD76-462C-ADE2-26F981008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66676</xdr:colOff>
      <xdr:row>19</xdr:row>
      <xdr:rowOff>19794</xdr:rowOff>
    </xdr:to>
    <xdr:pic>
      <xdr:nvPicPr>
        <xdr:cNvPr id="2" name="Picture 1" descr="Er du nyutdannet i 2023? Kickstart karrieren din som ...">
          <a:extLst>
            <a:ext uri="{FF2B5EF4-FFF2-40B4-BE49-F238E27FC236}">
              <a16:creationId xmlns:a16="http://schemas.microsoft.com/office/drawing/2014/main" id="{1ACE45D9-EB55-4367-94F5-8895D5F1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58676" cy="3639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Itera">
  <a:themeElements>
    <a:clrScheme name="Iter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4B33"/>
      </a:accent1>
      <a:accent2>
        <a:srgbClr val="AF1DFF"/>
      </a:accent2>
      <a:accent3>
        <a:srgbClr val="0029FF"/>
      </a:accent3>
      <a:accent4>
        <a:srgbClr val="37E17B"/>
      </a:accent4>
      <a:accent5>
        <a:srgbClr val="FFDD00"/>
      </a:accent5>
      <a:accent6>
        <a:srgbClr val="F79646"/>
      </a:accent6>
      <a:hlink>
        <a:srgbClr val="0000FF"/>
      </a:hlink>
      <a:folHlink>
        <a:srgbClr val="800080"/>
      </a:folHlink>
    </a:clrScheme>
    <a:fontScheme name="Itera fonts">
      <a:majorFont>
        <a:latin typeface="IBM Plex Sans SemiBold"/>
        <a:ea typeface=""/>
        <a:cs typeface=""/>
      </a:majorFont>
      <a:minorFont>
        <a:latin typeface="IBM Plex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e.dahl.jorum@itera.com" TargetMode="External"/><Relationship Id="rId2" Type="http://schemas.openxmlformats.org/officeDocument/2006/relationships/hyperlink" Target="mailto:bent.hammer@itera.com" TargetMode="External"/><Relationship Id="rId1" Type="http://schemas.openxmlformats.org/officeDocument/2006/relationships/hyperlink" Target="http://www.itera.com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5853-CDFE-4DFC-88DB-0B867324C098}">
  <dimension ref="A13:M41"/>
  <sheetViews>
    <sheetView workbookViewId="0">
      <selection activeCell="K20" sqref="K20"/>
    </sheetView>
  </sheetViews>
  <sheetFormatPr defaultRowHeight="15"/>
  <cols>
    <col min="1" max="1" width="41.44140625" customWidth="1"/>
  </cols>
  <sheetData>
    <row r="13" spans="1:13">
      <c r="A13" s="4"/>
      <c r="B13" s="5">
        <v>2019</v>
      </c>
      <c r="C13" s="5">
        <v>2019</v>
      </c>
      <c r="D13" s="5">
        <v>2019</v>
      </c>
      <c r="E13" s="5">
        <v>2019</v>
      </c>
      <c r="F13" s="5">
        <v>2020</v>
      </c>
      <c r="G13" s="5">
        <v>2020</v>
      </c>
      <c r="H13" s="5">
        <v>2020</v>
      </c>
      <c r="I13" s="5">
        <v>2020</v>
      </c>
      <c r="J13" s="5">
        <v>2021</v>
      </c>
      <c r="K13" s="5">
        <v>2021</v>
      </c>
      <c r="L13" s="5">
        <v>2021</v>
      </c>
      <c r="M13" s="5">
        <v>2021</v>
      </c>
    </row>
    <row r="14" spans="1:13">
      <c r="A14" s="4"/>
      <c r="B14" s="6" t="s">
        <v>0</v>
      </c>
      <c r="C14" s="6" t="s">
        <v>1</v>
      </c>
      <c r="D14" s="6" t="s">
        <v>2</v>
      </c>
      <c r="E14" s="6" t="s">
        <v>3</v>
      </c>
      <c r="F14" s="6" t="s">
        <v>0</v>
      </c>
      <c r="G14" s="6" t="s">
        <v>1</v>
      </c>
      <c r="H14" s="6" t="s">
        <v>2</v>
      </c>
      <c r="I14" s="6" t="s">
        <v>3</v>
      </c>
      <c r="J14" s="6" t="s">
        <v>0</v>
      </c>
      <c r="K14" s="6" t="s">
        <v>1</v>
      </c>
      <c r="L14" s="6" t="s">
        <v>2</v>
      </c>
      <c r="M14" s="6" t="s">
        <v>3</v>
      </c>
    </row>
    <row r="15" spans="1:13">
      <c r="A15" t="s">
        <v>4</v>
      </c>
    </row>
    <row r="17" spans="1:13">
      <c r="A17" t="s">
        <v>5</v>
      </c>
      <c r="B17" s="2">
        <v>114522.47133925426</v>
      </c>
      <c r="C17" s="2">
        <v>116516.79823560674</v>
      </c>
      <c r="D17" s="2">
        <v>102238.22538959075</v>
      </c>
      <c r="E17" s="2">
        <v>119036.96352273879</v>
      </c>
      <c r="F17" s="2">
        <v>130737.68838952623</v>
      </c>
      <c r="G17" s="2">
        <v>121581.84599540736</v>
      </c>
      <c r="H17" s="2">
        <v>109667.12830346057</v>
      </c>
      <c r="I17" s="2">
        <v>135647.48052821492</v>
      </c>
      <c r="J17" s="2">
        <v>144449.73690835069</v>
      </c>
      <c r="K17" s="2">
        <v>150825.18431903646</v>
      </c>
      <c r="L17" s="2">
        <v>138942.95135104901</v>
      </c>
      <c r="M17" s="2">
        <v>158738.40500930577</v>
      </c>
    </row>
    <row r="18" spans="1:13">
      <c r="A18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t="s">
        <v>7</v>
      </c>
      <c r="B19" s="2">
        <v>10170.795870236361</v>
      </c>
      <c r="C19" s="2">
        <v>12042.303354364489</v>
      </c>
      <c r="D19" s="2">
        <v>8858.4003421810958</v>
      </c>
      <c r="E19" s="2">
        <v>9650.4049203343857</v>
      </c>
      <c r="F19" s="2">
        <v>9021.9358103202176</v>
      </c>
      <c r="G19" s="2">
        <v>8369.8773264273586</v>
      </c>
      <c r="H19" s="2">
        <v>7941.8087626817642</v>
      </c>
      <c r="I19" s="2">
        <v>10305.891200780532</v>
      </c>
      <c r="J19" s="2">
        <v>12021.387012391338</v>
      </c>
      <c r="K19" s="2">
        <v>12284.473410100007</v>
      </c>
      <c r="L19" s="2">
        <v>9962.772024379974</v>
      </c>
      <c r="M19" s="2">
        <v>11430.23297878395</v>
      </c>
    </row>
    <row r="20" spans="1:13">
      <c r="A20" t="s">
        <v>8</v>
      </c>
      <c r="B20" s="2">
        <v>104351.67546901791</v>
      </c>
      <c r="C20" s="2">
        <v>104474.49488124225</v>
      </c>
      <c r="D20" s="2">
        <v>93379.825047409657</v>
      </c>
      <c r="E20" s="2">
        <v>109386.5586024044</v>
      </c>
      <c r="F20" s="2">
        <v>121715.75257920602</v>
      </c>
      <c r="G20" s="2">
        <v>113211.96866898</v>
      </c>
      <c r="H20" s="2">
        <v>101725.31954077882</v>
      </c>
      <c r="I20" s="2">
        <v>125341.58932743438</v>
      </c>
      <c r="J20" s="2">
        <v>132428.34989595934</v>
      </c>
      <c r="K20" s="2">
        <v>138540.71090893645</v>
      </c>
      <c r="L20" s="2">
        <v>128980.17932666904</v>
      </c>
      <c r="M20" s="2">
        <v>147308.17203052182</v>
      </c>
    </row>
    <row r="21" spans="1:13">
      <c r="A21" t="s">
        <v>9</v>
      </c>
      <c r="B21" s="7">
        <v>0.91118951808063053</v>
      </c>
      <c r="C21" s="7">
        <v>0.89664749172034464</v>
      </c>
      <c r="D21" s="7">
        <v>0.91335530024679989</v>
      </c>
      <c r="E21" s="7">
        <v>0.91892934232574797</v>
      </c>
      <c r="F21" s="7">
        <v>0.93099208100238229</v>
      </c>
      <c r="G21" s="7">
        <v>0.93115849444543286</v>
      </c>
      <c r="H21" s="7">
        <v>0.92758259575553093</v>
      </c>
      <c r="I21" s="7">
        <v>0.92402445544400003</v>
      </c>
      <c r="J21" s="7">
        <v>0.91677806225414882</v>
      </c>
      <c r="K21" s="7">
        <v>0.9185515770090823</v>
      </c>
      <c r="L21" s="7">
        <v>0.92829595220553263</v>
      </c>
      <c r="M21" s="7">
        <v>0.9279932730953554</v>
      </c>
    </row>
    <row r="22" spans="1:13">
      <c r="A22" t="s">
        <v>10</v>
      </c>
      <c r="B22" s="2">
        <v>75721.107803451247</v>
      </c>
      <c r="C22" s="2">
        <v>74260.968786131431</v>
      </c>
      <c r="D22" s="2">
        <v>69460.700051440857</v>
      </c>
      <c r="E22" s="2">
        <v>73071.169117924161</v>
      </c>
      <c r="F22" s="2">
        <v>84272.961694848564</v>
      </c>
      <c r="G22" s="2">
        <v>81461.234681796195</v>
      </c>
      <c r="H22" s="2">
        <v>73192.31568979763</v>
      </c>
      <c r="I22" s="2">
        <v>92767.419286066375</v>
      </c>
      <c r="J22" s="2">
        <v>95517.503809376794</v>
      </c>
      <c r="K22" s="2">
        <v>100705.45619187807</v>
      </c>
      <c r="L22" s="2">
        <v>96750.16929311362</v>
      </c>
      <c r="M22" s="2">
        <v>109846.43231875895</v>
      </c>
    </row>
    <row r="23" spans="1:13">
      <c r="A23" t="s">
        <v>11</v>
      </c>
      <c r="B23" s="2">
        <v>8476.9215992983227</v>
      </c>
      <c r="C23" s="2">
        <v>10388.776915176322</v>
      </c>
      <c r="D23" s="2">
        <v>8475.2285711912155</v>
      </c>
      <c r="E23" s="2">
        <v>9821.1241054085349</v>
      </c>
      <c r="F23" s="2">
        <v>10970.396258111563</v>
      </c>
      <c r="G23" s="2">
        <v>8259.1515721115138</v>
      </c>
      <c r="H23" s="2">
        <v>9444.3363043027293</v>
      </c>
      <c r="I23" s="2">
        <v>11318.823741675829</v>
      </c>
      <c r="J23" s="2">
        <v>8917.8681294839625</v>
      </c>
      <c r="K23" s="2">
        <v>9476.4289687600522</v>
      </c>
      <c r="L23" s="2">
        <v>11579.271347126141</v>
      </c>
      <c r="M23" s="2">
        <v>12919.737652118034</v>
      </c>
    </row>
    <row r="24" spans="1:13">
      <c r="A24" t="s">
        <v>12</v>
      </c>
      <c r="B24" s="2">
        <v>6740.0293883087188</v>
      </c>
      <c r="C24" s="2">
        <v>6862.5682956754627</v>
      </c>
      <c r="D24" s="2">
        <v>7048.7958332326571</v>
      </c>
      <c r="E24" s="2">
        <v>7348.2418420347149</v>
      </c>
      <c r="F24" s="2">
        <v>7781.01547952705</v>
      </c>
      <c r="G24" s="2">
        <v>7939.4207809527798</v>
      </c>
      <c r="H24" s="2">
        <v>7766.5109517841665</v>
      </c>
      <c r="I24" s="2">
        <v>7643.7858568173133</v>
      </c>
      <c r="J24" s="2">
        <v>5937.8599252378535</v>
      </c>
      <c r="K24" s="2">
        <v>6058.2412704175131</v>
      </c>
      <c r="L24" s="2">
        <v>6179.6541848767783</v>
      </c>
      <c r="M24" s="2">
        <v>6289.3250123673633</v>
      </c>
    </row>
    <row r="25" spans="1:13">
      <c r="A25" t="s">
        <v>13</v>
      </c>
      <c r="B25" s="2">
        <v>101108.85466129464</v>
      </c>
      <c r="C25" s="2">
        <v>103554.6173513477</v>
      </c>
      <c r="D25" s="2">
        <v>93843.124798045814</v>
      </c>
      <c r="E25" s="2">
        <v>99890.9399857018</v>
      </c>
      <c r="F25" s="2">
        <v>112046.30924280739</v>
      </c>
      <c r="G25" s="2">
        <v>106029.68436128784</v>
      </c>
      <c r="H25" s="2">
        <v>98344.971708566285</v>
      </c>
      <c r="I25" s="2">
        <v>122035.92008534005</v>
      </c>
      <c r="J25" s="2">
        <v>122394.61887648994</v>
      </c>
      <c r="K25" s="2">
        <v>128524.59984115564</v>
      </c>
      <c r="L25" s="2">
        <v>124471.86684949651</v>
      </c>
      <c r="M25" s="2">
        <v>140485.72796202829</v>
      </c>
    </row>
    <row r="27" spans="1:13">
      <c r="A27" t="s">
        <v>14</v>
      </c>
      <c r="B27" s="2">
        <v>20153.646066268342</v>
      </c>
      <c r="C27" s="2">
        <v>19824.749179934501</v>
      </c>
      <c r="D27" s="2">
        <v>15443.896424777591</v>
      </c>
      <c r="E27" s="2">
        <v>26494.265379071709</v>
      </c>
      <c r="F27" s="2">
        <v>26472.394626245892</v>
      </c>
      <c r="G27" s="2">
        <v>23491.582415072298</v>
      </c>
      <c r="H27" s="2">
        <v>19088.667546678455</v>
      </c>
      <c r="I27" s="2">
        <v>21255.346299692177</v>
      </c>
      <c r="J27" s="2">
        <v>27992.977957098607</v>
      </c>
      <c r="K27" s="2">
        <v>28358.825748298339</v>
      </c>
      <c r="L27" s="2">
        <v>20650.738686429275</v>
      </c>
      <c r="M27" s="2">
        <v>24542.002059644845</v>
      </c>
    </row>
    <row r="28" spans="1:13">
      <c r="A28" t="s">
        <v>15</v>
      </c>
      <c r="B28" s="7">
        <f>+B27/B17</f>
        <v>0.1759798389834466</v>
      </c>
      <c r="C28" s="7">
        <f t="shared" ref="C28:M28" si="0">+C27/C17</f>
        <v>0.17014498750512519</v>
      </c>
      <c r="D28" s="7">
        <f t="shared" si="0"/>
        <v>0.15105794692666868</v>
      </c>
      <c r="E28" s="7">
        <f t="shared" si="0"/>
        <v>0.22257175078235841</v>
      </c>
      <c r="F28" s="7">
        <f t="shared" si="0"/>
        <v>0.20248479954282772</v>
      </c>
      <c r="G28" s="7">
        <f t="shared" si="0"/>
        <v>0.19321620117496546</v>
      </c>
      <c r="H28" s="7">
        <f t="shared" si="0"/>
        <v>0.17406006560013212</v>
      </c>
      <c r="I28" s="7">
        <f t="shared" si="0"/>
        <v>0.15669547430533387</v>
      </c>
      <c r="J28" s="7">
        <f t="shared" si="0"/>
        <v>0.19379043919518776</v>
      </c>
      <c r="K28" s="7">
        <f t="shared" si="0"/>
        <v>0.18802447267899025</v>
      </c>
      <c r="L28" s="7">
        <f t="shared" si="0"/>
        <v>0.14862746534189958</v>
      </c>
      <c r="M28" s="7">
        <f t="shared" si="0"/>
        <v>0.15460658092290969</v>
      </c>
    </row>
    <row r="30" spans="1:13">
      <c r="A30" t="s">
        <v>16</v>
      </c>
      <c r="B30" s="2">
        <v>13413.616677959624</v>
      </c>
      <c r="C30" s="2">
        <v>12962.18088425904</v>
      </c>
      <c r="D30" s="2">
        <v>8395.100591544935</v>
      </c>
      <c r="E30" s="2">
        <v>19146.023537036992</v>
      </c>
      <c r="F30" s="2">
        <v>18691.379146718842</v>
      </c>
      <c r="G30" s="2">
        <v>15552.161634119519</v>
      </c>
      <c r="H30" s="2">
        <v>11322.156594894288</v>
      </c>
      <c r="I30" s="2">
        <v>13611.560442874863</v>
      </c>
      <c r="J30" s="2">
        <v>22055.118031860751</v>
      </c>
      <c r="K30" s="2">
        <v>22300.584477880824</v>
      </c>
      <c r="L30" s="2">
        <v>14471.084501552497</v>
      </c>
      <c r="M30" s="2">
        <v>18252.677047277481</v>
      </c>
    </row>
    <row r="31" spans="1:13">
      <c r="A31" t="s">
        <v>17</v>
      </c>
      <c r="B31" s="7">
        <f>+B30/B17</f>
        <v>0.11712650383018681</v>
      </c>
      <c r="C31" s="7">
        <f t="shared" ref="C31:M31" si="1">+C30/C17</f>
        <v>0.11124731438335976</v>
      </c>
      <c r="D31" s="7">
        <f t="shared" si="1"/>
        <v>8.2113129013677802E-2</v>
      </c>
      <c r="E31" s="7">
        <f t="shared" si="1"/>
        <v>0.16084099401090371</v>
      </c>
      <c r="F31" s="7">
        <f t="shared" si="1"/>
        <v>0.14296856076442807</v>
      </c>
      <c r="G31" s="7">
        <f t="shared" si="1"/>
        <v>0.12791516288300958</v>
      </c>
      <c r="H31" s="7">
        <f t="shared" si="1"/>
        <v>0.10324111490878725</v>
      </c>
      <c r="I31" s="7">
        <f t="shared" si="1"/>
        <v>0.10034510327704638</v>
      </c>
      <c r="J31" s="7">
        <f t="shared" si="1"/>
        <v>0.15268368433134707</v>
      </c>
      <c r="K31" s="7">
        <f t="shared" si="1"/>
        <v>0.14785716708098959</v>
      </c>
      <c r="L31" s="7">
        <f t="shared" si="1"/>
        <v>0.10415126755865649</v>
      </c>
      <c r="M31" s="7">
        <f t="shared" si="1"/>
        <v>0.11498589170155418</v>
      </c>
    </row>
    <row r="33" spans="1:13">
      <c r="A33" s="3" t="s">
        <v>18</v>
      </c>
    </row>
    <row r="34" spans="1:13">
      <c r="A34" t="s">
        <v>19</v>
      </c>
      <c r="B34" s="2">
        <v>430.70000000000005</v>
      </c>
      <c r="C34" s="2">
        <v>439.15</v>
      </c>
      <c r="D34" s="2">
        <v>443.15</v>
      </c>
      <c r="E34" s="2">
        <v>449.5</v>
      </c>
      <c r="F34" s="2">
        <v>461.25</v>
      </c>
      <c r="G34" s="2">
        <v>463</v>
      </c>
      <c r="H34" s="2">
        <v>486.5</v>
      </c>
      <c r="I34" s="2">
        <v>504.20000000000005</v>
      </c>
      <c r="J34" s="2">
        <v>524.4</v>
      </c>
      <c r="K34" s="2">
        <v>538.70000000000005</v>
      </c>
      <c r="L34" s="2">
        <v>589</v>
      </c>
      <c r="M34" s="2">
        <v>617</v>
      </c>
    </row>
    <row r="35" spans="1:13">
      <c r="A35" t="s">
        <v>20</v>
      </c>
      <c r="B35" s="2">
        <v>428.58333333333331</v>
      </c>
      <c r="C35" s="2">
        <v>434.05</v>
      </c>
      <c r="D35" s="2">
        <v>439.98333333333329</v>
      </c>
      <c r="E35" s="2">
        <v>444.7833333333333</v>
      </c>
      <c r="F35" s="2">
        <v>456.1</v>
      </c>
      <c r="G35" s="2">
        <v>461.66666666666663</v>
      </c>
      <c r="H35" s="2">
        <v>475</v>
      </c>
      <c r="I35" s="2">
        <v>496.85</v>
      </c>
      <c r="J35" s="2">
        <v>524.93333333333339</v>
      </c>
      <c r="K35" s="2">
        <v>531.55000000000007</v>
      </c>
      <c r="L35" s="2">
        <v>563.84999999999991</v>
      </c>
      <c r="M35" s="2">
        <v>603</v>
      </c>
    </row>
    <row r="36" spans="1:13">
      <c r="A36" t="s">
        <v>21</v>
      </c>
      <c r="B36" s="2">
        <v>267.21167724500316</v>
      </c>
      <c r="C36" s="2">
        <v>268.44095895773927</v>
      </c>
      <c r="D36" s="2">
        <v>232.36840499168324</v>
      </c>
      <c r="E36" s="2">
        <v>267.62910073685043</v>
      </c>
      <c r="F36" s="2">
        <v>286.6425967759838</v>
      </c>
      <c r="G36" s="2">
        <v>263.3541790514239</v>
      </c>
      <c r="H36" s="2">
        <v>230.87816484939069</v>
      </c>
      <c r="I36" s="2">
        <v>273.01495527466017</v>
      </c>
      <c r="J36" s="2">
        <v>275.17729916500639</v>
      </c>
      <c r="K36" s="2">
        <v>283.74599627323192</v>
      </c>
      <c r="L36" s="2">
        <v>246.41828740099146</v>
      </c>
      <c r="M36" s="2">
        <v>263.24776950133628</v>
      </c>
    </row>
    <row r="37" spans="1:13">
      <c r="A37" t="s">
        <v>22</v>
      </c>
      <c r="B37" s="2">
        <v>243.4804794143914</v>
      </c>
      <c r="C37" s="2">
        <v>240.69691252446088</v>
      </c>
      <c r="D37" s="2">
        <v>212.23491430904883</v>
      </c>
      <c r="E37" s="2">
        <v>245.93223352734532</v>
      </c>
      <c r="F37" s="2">
        <v>266.86198767639996</v>
      </c>
      <c r="G37" s="2">
        <v>245.22448087143684</v>
      </c>
      <c r="H37" s="2">
        <v>214.15856745427118</v>
      </c>
      <c r="I37" s="2">
        <v>252.2724953757359</v>
      </c>
      <c r="J37" s="2">
        <v>252.27651110482472</v>
      </c>
      <c r="K37" s="2">
        <v>260.63533234679039</v>
      </c>
      <c r="L37" s="2">
        <v>228.74909874375996</v>
      </c>
      <c r="M37" s="2">
        <v>244.29215925459673</v>
      </c>
    </row>
    <row r="38" spans="1:13">
      <c r="A38" t="s">
        <v>23</v>
      </c>
      <c r="B38" s="2">
        <v>176.67767716146508</v>
      </c>
      <c r="C38" s="2">
        <v>171.08851235141441</v>
      </c>
      <c r="D38" s="2">
        <v>157.87120735961406</v>
      </c>
      <c r="E38" s="2">
        <v>164.28486330705775</v>
      </c>
      <c r="F38" s="2">
        <v>184.76860709241078</v>
      </c>
      <c r="G38" s="2">
        <v>176.45032783060549</v>
      </c>
      <c r="H38" s="2">
        <v>154.08908566273186</v>
      </c>
      <c r="I38" s="2">
        <v>186.71111861943518</v>
      </c>
      <c r="J38" s="2">
        <v>181.96120867928013</v>
      </c>
      <c r="K38" s="2">
        <v>189.45622461081376</v>
      </c>
      <c r="L38" s="2">
        <v>171.58848859291237</v>
      </c>
      <c r="M38" s="2">
        <v>182.16655442580256</v>
      </c>
    </row>
    <row r="39" spans="1:13">
      <c r="A39" t="s">
        <v>24</v>
      </c>
      <c r="B39" s="2">
        <v>19.778934316853952</v>
      </c>
      <c r="C39" s="2">
        <v>23.934516565318102</v>
      </c>
      <c r="D39" s="2">
        <v>19.26261276076643</v>
      </c>
      <c r="E39" s="2">
        <v>22.08069270897861</v>
      </c>
      <c r="F39" s="2">
        <v>24.052611835368477</v>
      </c>
      <c r="G39" s="2">
        <v>17.889859000963568</v>
      </c>
      <c r="H39" s="2">
        <v>19.882813272216271</v>
      </c>
      <c r="I39" s="2">
        <v>22.781168847088313</v>
      </c>
      <c r="J39" s="2">
        <v>16.988572763812474</v>
      </c>
      <c r="K39" s="2">
        <v>17.827916411927479</v>
      </c>
      <c r="L39" s="2">
        <v>20.536084680546498</v>
      </c>
      <c r="M39" s="2">
        <v>21.425767250610338</v>
      </c>
    </row>
    <row r="40" spans="1:13">
      <c r="A40" t="s">
        <v>25</v>
      </c>
      <c r="B40" s="2">
        <v>47.023867936072357</v>
      </c>
      <c r="C40" s="2">
        <v>45.673883607728371</v>
      </c>
      <c r="D40" s="2">
        <v>35.101094188668341</v>
      </c>
      <c r="E40" s="2">
        <v>59.566677511308974</v>
      </c>
      <c r="F40" s="2">
        <v>58.040768748620678</v>
      </c>
      <c r="G40" s="2">
        <v>50.884294039867797</v>
      </c>
      <c r="H40" s="2">
        <v>40.186668519323064</v>
      </c>
      <c r="I40" s="2">
        <v>42.780207909212393</v>
      </c>
      <c r="J40" s="2">
        <v>53.326729661732166</v>
      </c>
      <c r="K40" s="2">
        <v>53.351191324049168</v>
      </c>
      <c r="L40" s="2">
        <v>36.624525470301108</v>
      </c>
      <c r="M40" s="2">
        <v>40.699837578183825</v>
      </c>
    </row>
    <row r="41" spans="1:13">
      <c r="A41" t="s">
        <v>26</v>
      </c>
      <c r="B41" s="2">
        <v>31.297569538307506</v>
      </c>
      <c r="C41" s="2">
        <v>29.863335754542195</v>
      </c>
      <c r="D41" s="2">
        <v>19.080496817784617</v>
      </c>
      <c r="E41" s="2">
        <v>43.045730588759305</v>
      </c>
      <c r="F41" s="2">
        <v>40.980879514840694</v>
      </c>
      <c r="G41" s="2">
        <v>33.686992709284155</v>
      </c>
      <c r="H41" s="2">
        <v>23.836119147145869</v>
      </c>
      <c r="I41" s="2">
        <v>27.395713883213972</v>
      </c>
      <c r="J41" s="2">
        <v>42.015083880862491</v>
      </c>
      <c r="K41" s="2">
        <v>41.953879179533104</v>
      </c>
      <c r="L41" s="2">
        <v>25.664776982446572</v>
      </c>
      <c r="M41" s="2">
        <v>30.269779514556351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9DBD-2A3B-42CA-8673-BA5836CF8A95}">
  <dimension ref="A21:D29"/>
  <sheetViews>
    <sheetView showGridLines="0" tabSelected="1" workbookViewId="0">
      <selection activeCell="F34" sqref="F34"/>
    </sheetView>
  </sheetViews>
  <sheetFormatPr defaultRowHeight="15"/>
  <sheetData>
    <row r="21" spans="1:4">
      <c r="A21" t="s">
        <v>223</v>
      </c>
      <c r="B21" t="s">
        <v>224</v>
      </c>
    </row>
    <row r="22" spans="1:4">
      <c r="A22" t="s">
        <v>225</v>
      </c>
      <c r="B22" s="85" t="s">
        <v>226</v>
      </c>
    </row>
    <row r="24" spans="1:4">
      <c r="A24" s="3" t="s">
        <v>227</v>
      </c>
    </row>
    <row r="26" spans="1:4">
      <c r="A26" s="86" t="s">
        <v>229</v>
      </c>
      <c r="D26" s="86" t="s">
        <v>232</v>
      </c>
    </row>
    <row r="27" spans="1:4">
      <c r="A27" t="s">
        <v>228</v>
      </c>
      <c r="D27" t="s">
        <v>233</v>
      </c>
    </row>
    <row r="28" spans="1:4">
      <c r="A28" s="85" t="s">
        <v>230</v>
      </c>
      <c r="D28" s="85" t="s">
        <v>234</v>
      </c>
    </row>
    <row r="29" spans="1:4">
      <c r="A29" t="s">
        <v>231</v>
      </c>
      <c r="D29" t="s">
        <v>235</v>
      </c>
    </row>
  </sheetData>
  <hyperlinks>
    <hyperlink ref="B22" r:id="rId1" xr:uid="{5E15AA08-D834-4727-B4B2-990C787AABD2}"/>
    <hyperlink ref="A28" r:id="rId2" xr:uid="{ACFB054E-9BFF-462E-B93F-2401AAECCBD5}"/>
    <hyperlink ref="D28" r:id="rId3" xr:uid="{36EE91BA-34C0-47F1-9976-F03903F8789C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60B9-C8B1-43D6-99BB-CE785F0B13ED}">
  <dimension ref="A1:AK73"/>
  <sheetViews>
    <sheetView showGridLines="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AA1" sqref="AA1:AC1048576"/>
    </sheetView>
  </sheetViews>
  <sheetFormatPr defaultColWidth="9.44140625" defaultRowHeight="13.5"/>
  <cols>
    <col min="1" max="1" width="35.77734375" style="8" customWidth="1"/>
    <col min="2" max="13" width="6.88671875" style="8" customWidth="1"/>
    <col min="14" max="26" width="6.88671875" style="9" customWidth="1"/>
    <col min="27" max="29" width="6.88671875" style="9" hidden="1" customWidth="1"/>
    <col min="30" max="30" width="6" style="9" customWidth="1"/>
    <col min="31" max="37" width="6.88671875" style="9" customWidth="1"/>
    <col min="38" max="16384" width="9.44140625" style="9"/>
  </cols>
  <sheetData>
    <row r="1" spans="1:37" ht="25.5">
      <c r="A1" s="69" t="s">
        <v>27</v>
      </c>
      <c r="B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E1" s="8"/>
      <c r="AF1" s="8"/>
      <c r="AG1" s="8"/>
      <c r="AH1" s="8"/>
      <c r="AI1" s="8"/>
      <c r="AJ1" s="8"/>
      <c r="AK1" s="8"/>
    </row>
    <row r="2" spans="1:37" ht="15">
      <c r="A2" s="1" t="s">
        <v>129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E2" s="10"/>
      <c r="AF2" s="10"/>
      <c r="AG2" s="10"/>
      <c r="AH2" s="10"/>
      <c r="AI2" s="10"/>
      <c r="AJ2" s="10"/>
      <c r="AK2" s="10"/>
    </row>
    <row r="3" spans="1:37" s="11" customFormat="1">
      <c r="A3" s="27"/>
      <c r="B3" s="28">
        <v>2020</v>
      </c>
      <c r="C3" s="28">
        <v>2020</v>
      </c>
      <c r="D3" s="28">
        <v>2020</v>
      </c>
      <c r="E3" s="28">
        <v>2020</v>
      </c>
      <c r="F3" s="28">
        <v>2021</v>
      </c>
      <c r="G3" s="28">
        <v>2021</v>
      </c>
      <c r="H3" s="28">
        <v>2021</v>
      </c>
      <c r="I3" s="28">
        <v>2021</v>
      </c>
      <c r="J3" s="28">
        <v>2022</v>
      </c>
      <c r="K3" s="28">
        <v>2022</v>
      </c>
      <c r="L3" s="28">
        <v>2022</v>
      </c>
      <c r="M3" s="28">
        <v>2022</v>
      </c>
      <c r="N3" s="28">
        <v>2023</v>
      </c>
      <c r="O3" s="28">
        <v>2023</v>
      </c>
      <c r="P3" s="28">
        <v>2023</v>
      </c>
      <c r="Q3" s="28">
        <v>2023</v>
      </c>
      <c r="R3" s="28">
        <v>2024</v>
      </c>
      <c r="S3" s="28">
        <v>2024</v>
      </c>
      <c r="T3" s="28">
        <v>2024</v>
      </c>
      <c r="U3" s="28">
        <v>2024</v>
      </c>
      <c r="V3" s="28">
        <v>2025</v>
      </c>
      <c r="W3" s="28">
        <v>2025</v>
      </c>
      <c r="X3" s="28">
        <v>2025</v>
      </c>
      <c r="Y3" s="28">
        <v>2025</v>
      </c>
      <c r="Z3" s="28">
        <v>2026</v>
      </c>
      <c r="AA3" s="28">
        <v>2026</v>
      </c>
      <c r="AB3" s="28">
        <v>2026</v>
      </c>
      <c r="AC3" s="28">
        <v>2026</v>
      </c>
      <c r="AE3" s="76">
        <v>2020</v>
      </c>
      <c r="AF3" s="76">
        <v>2021</v>
      </c>
      <c r="AG3" s="76">
        <v>2022</v>
      </c>
      <c r="AH3" s="76">
        <v>2023</v>
      </c>
      <c r="AI3" s="76">
        <v>2024</v>
      </c>
      <c r="AJ3" s="76">
        <v>2025</v>
      </c>
      <c r="AK3" s="76">
        <v>2026</v>
      </c>
    </row>
    <row r="4" spans="1:37">
      <c r="A4" s="74" t="s">
        <v>29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0</v>
      </c>
      <c r="G4" s="29" t="s">
        <v>1</v>
      </c>
      <c r="H4" s="29" t="s">
        <v>2</v>
      </c>
      <c r="I4" s="29" t="s">
        <v>3</v>
      </c>
      <c r="J4" s="29" t="s">
        <v>0</v>
      </c>
      <c r="K4" s="29" t="s">
        <v>1</v>
      </c>
      <c r="L4" s="29" t="s">
        <v>2</v>
      </c>
      <c r="M4" s="29" t="s">
        <v>3</v>
      </c>
      <c r="N4" s="29" t="s">
        <v>0</v>
      </c>
      <c r="O4" s="29" t="s">
        <v>1</v>
      </c>
      <c r="P4" s="29" t="s">
        <v>2</v>
      </c>
      <c r="Q4" s="29" t="s">
        <v>3</v>
      </c>
      <c r="R4" s="29" t="s">
        <v>0</v>
      </c>
      <c r="S4" s="29" t="s">
        <v>1</v>
      </c>
      <c r="T4" s="29" t="s">
        <v>2</v>
      </c>
      <c r="U4" s="29" t="s">
        <v>3</v>
      </c>
      <c r="V4" s="29" t="s">
        <v>0</v>
      </c>
      <c r="W4" s="29" t="s">
        <v>1</v>
      </c>
      <c r="X4" s="29" t="s">
        <v>2</v>
      </c>
      <c r="Y4" s="29" t="s">
        <v>3</v>
      </c>
      <c r="Z4" s="29" t="s">
        <v>0</v>
      </c>
      <c r="AA4" s="29" t="s">
        <v>1</v>
      </c>
      <c r="AB4" s="29" t="s">
        <v>2</v>
      </c>
      <c r="AC4" s="29" t="s">
        <v>3</v>
      </c>
      <c r="AE4" s="77" t="s">
        <v>218</v>
      </c>
      <c r="AF4" s="77" t="s">
        <v>218</v>
      </c>
      <c r="AG4" s="77" t="s">
        <v>218</v>
      </c>
      <c r="AH4" s="77" t="s">
        <v>218</v>
      </c>
      <c r="AI4" s="77" t="s">
        <v>218</v>
      </c>
      <c r="AJ4" s="77" t="s">
        <v>218</v>
      </c>
      <c r="AK4" s="77" t="s">
        <v>219</v>
      </c>
    </row>
    <row r="5" spans="1:37" s="23" customFormat="1">
      <c r="A5" s="12" t="s">
        <v>30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37">
      <c r="A6" s="14" t="s">
        <v>31</v>
      </c>
      <c r="B6" s="15">
        <v>105786.10116025292</v>
      </c>
      <c r="C6" s="15">
        <v>98362.803322038031</v>
      </c>
      <c r="D6" s="15">
        <v>85318.575029598229</v>
      </c>
      <c r="E6" s="15">
        <v>108067.06424611717</v>
      </c>
      <c r="F6" s="15">
        <v>116536.90309524469</v>
      </c>
      <c r="G6" s="15">
        <v>119651.69166192487</v>
      </c>
      <c r="H6" s="15">
        <v>110467.01262290408</v>
      </c>
      <c r="I6" s="15">
        <v>130238.69110631128</v>
      </c>
      <c r="J6" s="15">
        <v>146024.36380557736</v>
      </c>
      <c r="K6" s="15">
        <v>149637.59922767751</v>
      </c>
      <c r="L6" s="15">
        <v>142704.37700196358</v>
      </c>
      <c r="M6" s="15">
        <v>174872.83792607053</v>
      </c>
      <c r="N6" s="15">
        <v>196780.51804875568</v>
      </c>
      <c r="O6" s="15">
        <v>190085.01508816672</v>
      </c>
      <c r="P6" s="15">
        <v>162729.52555049318</v>
      </c>
      <c r="Q6" s="15">
        <v>185585.7710571138</v>
      </c>
      <c r="R6" s="15">
        <v>191047.53211628066</v>
      </c>
      <c r="S6" s="15">
        <v>183142.96925459441</v>
      </c>
      <c r="T6" s="15">
        <v>148254.63132270143</v>
      </c>
      <c r="U6" s="15">
        <v>174076.38446292304</v>
      </c>
      <c r="V6" s="15">
        <v>191551.05199476401</v>
      </c>
      <c r="W6" s="15">
        <v>165906.26634951954</v>
      </c>
      <c r="X6" s="15">
        <v>158283.83289724746</v>
      </c>
      <c r="Y6" s="15">
        <v>176703.92562374205</v>
      </c>
      <c r="Z6" s="15">
        <v>188198.49046825807</v>
      </c>
      <c r="AA6" s="15"/>
      <c r="AB6" s="15"/>
      <c r="AC6" s="15"/>
      <c r="AE6" s="15">
        <f>SUMIFS($B6:$AC6,$B$3:$AC$3,AE$3)</f>
        <v>397534.5437580063</v>
      </c>
      <c r="AF6" s="15">
        <f t="shared" ref="AF6:AK11" si="0">SUMIFS($B6:$AC6,$B$3:$AC$3,AF$3)</f>
        <v>476894.29848638491</v>
      </c>
      <c r="AG6" s="15">
        <f t="shared" si="0"/>
        <v>613239.17796128895</v>
      </c>
      <c r="AH6" s="15">
        <f t="shared" si="0"/>
        <v>735180.82974452933</v>
      </c>
      <c r="AI6" s="15">
        <f t="shared" si="0"/>
        <v>696521.51715649955</v>
      </c>
      <c r="AJ6" s="15">
        <f t="shared" si="0"/>
        <v>692445.07686527306</v>
      </c>
      <c r="AK6" s="15">
        <f t="shared" si="0"/>
        <v>188198.49046825807</v>
      </c>
    </row>
    <row r="7" spans="1:37">
      <c r="A7" s="14" t="s">
        <v>32</v>
      </c>
      <c r="B7" s="15">
        <v>14902.725243033332</v>
      </c>
      <c r="C7" s="15">
        <v>15089.431085951321</v>
      </c>
      <c r="D7" s="15">
        <v>16049.121193026338</v>
      </c>
      <c r="E7" s="15">
        <v>16202.726239310388</v>
      </c>
      <c r="F7" s="15">
        <v>14747.308635970667</v>
      </c>
      <c r="G7" s="15">
        <v>14850.789293713491</v>
      </c>
      <c r="H7" s="15">
        <v>15059.118447909634</v>
      </c>
      <c r="I7" s="15">
        <v>15247.817890378694</v>
      </c>
      <c r="J7" s="15">
        <v>15736.657747701331</v>
      </c>
      <c r="K7" s="15">
        <v>19851.234288772172</v>
      </c>
      <c r="L7" s="15">
        <v>18043.370747917379</v>
      </c>
      <c r="M7" s="15">
        <v>17486.127845400621</v>
      </c>
      <c r="N7" s="15">
        <v>19516.306408091663</v>
      </c>
      <c r="O7" s="15">
        <v>19886.354191645009</v>
      </c>
      <c r="P7" s="15">
        <v>18341.912035034667</v>
      </c>
      <c r="Q7" s="15">
        <v>18487.327360823998</v>
      </c>
      <c r="R7" s="15">
        <v>19127.07031752</v>
      </c>
      <c r="S7" s="15">
        <v>20632.872315989323</v>
      </c>
      <c r="T7" s="15">
        <v>19848.523284358685</v>
      </c>
      <c r="U7" s="15">
        <v>19888.705956731974</v>
      </c>
      <c r="V7" s="15">
        <v>20170.71568081835</v>
      </c>
      <c r="W7" s="15">
        <v>20920.981805923395</v>
      </c>
      <c r="X7" s="15">
        <v>21098.935885262981</v>
      </c>
      <c r="Y7" s="15">
        <v>19600.900778372408</v>
      </c>
      <c r="Z7" s="15">
        <v>19567.028577403355</v>
      </c>
      <c r="AA7" s="15"/>
      <c r="AB7" s="15"/>
      <c r="AC7" s="15"/>
      <c r="AE7" s="15">
        <f t="shared" ref="AE7:AE9" si="1">SUMIFS($B7:$AC7,$B$3:$AC$3,AE$3)</f>
        <v>62244.003761321379</v>
      </c>
      <c r="AF7" s="15">
        <f t="shared" si="0"/>
        <v>59905.034267972485</v>
      </c>
      <c r="AG7" s="15">
        <f t="shared" si="0"/>
        <v>71117.390629791509</v>
      </c>
      <c r="AH7" s="15">
        <f t="shared" si="0"/>
        <v>76231.899995595333</v>
      </c>
      <c r="AI7" s="15">
        <f t="shared" si="0"/>
        <v>79497.171874599982</v>
      </c>
      <c r="AJ7" s="15">
        <f t="shared" si="0"/>
        <v>81791.534150377134</v>
      </c>
      <c r="AK7" s="15">
        <f t="shared" si="0"/>
        <v>19567.028577403355</v>
      </c>
    </row>
    <row r="8" spans="1:37">
      <c r="A8" s="14" t="s">
        <v>33</v>
      </c>
      <c r="B8" s="15">
        <v>6330.0459566666668</v>
      </c>
      <c r="C8" s="15">
        <v>5654.5909246666661</v>
      </c>
      <c r="D8" s="15">
        <v>4641.5966816666669</v>
      </c>
      <c r="E8" s="15">
        <v>7664.902839431249</v>
      </c>
      <c r="F8" s="15">
        <v>10747.050460333334</v>
      </c>
      <c r="G8" s="15">
        <v>12735.853121484999</v>
      </c>
      <c r="H8" s="15">
        <v>10499.825495878555</v>
      </c>
      <c r="I8" s="15">
        <v>10480.580699464617</v>
      </c>
      <c r="J8" s="15">
        <v>10952.100291833334</v>
      </c>
      <c r="K8" s="15">
        <v>9680.3844015333325</v>
      </c>
      <c r="L8" s="15">
        <v>6137.2205181444406</v>
      </c>
      <c r="M8" s="15">
        <v>7698.1094787483835</v>
      </c>
      <c r="N8" s="15">
        <v>8496.0283328500009</v>
      </c>
      <c r="O8" s="15">
        <v>7129.3797701499971</v>
      </c>
      <c r="P8" s="15">
        <v>6887.84285838711</v>
      </c>
      <c r="Q8" s="15">
        <v>9212.8582955195634</v>
      </c>
      <c r="R8" s="15">
        <v>10912.03421028</v>
      </c>
      <c r="S8" s="15">
        <v>11445.590637150332</v>
      </c>
      <c r="T8" s="15">
        <v>8181.4154928527996</v>
      </c>
      <c r="U8" s="15">
        <v>8385.1244579529703</v>
      </c>
      <c r="V8" s="15">
        <v>9287.9697161204367</v>
      </c>
      <c r="W8" s="15">
        <v>5775.6030722375945</v>
      </c>
      <c r="X8" s="15">
        <v>5470.627868432819</v>
      </c>
      <c r="Y8" s="15">
        <v>5739.4653791928959</v>
      </c>
      <c r="Z8" s="15">
        <v>6037.3369757277424</v>
      </c>
      <c r="AA8" s="15"/>
      <c r="AB8" s="15"/>
      <c r="AC8" s="15"/>
      <c r="AE8" s="15">
        <f t="shared" si="1"/>
        <v>24291.136402431246</v>
      </c>
      <c r="AF8" s="15">
        <f t="shared" si="0"/>
        <v>44463.309777161507</v>
      </c>
      <c r="AG8" s="15">
        <f t="shared" si="0"/>
        <v>34467.814690259489</v>
      </c>
      <c r="AH8" s="15">
        <f t="shared" si="0"/>
        <v>31726.109256906671</v>
      </c>
      <c r="AI8" s="15">
        <f t="shared" si="0"/>
        <v>38924.164798236103</v>
      </c>
      <c r="AJ8" s="15">
        <f t="shared" si="0"/>
        <v>26273.666035983748</v>
      </c>
      <c r="AK8" s="15">
        <f t="shared" si="0"/>
        <v>6037.3369757277424</v>
      </c>
    </row>
    <row r="9" spans="1:37">
      <c r="A9" s="14" t="s">
        <v>34</v>
      </c>
      <c r="B9" s="15">
        <v>3718.8160295733333</v>
      </c>
      <c r="C9" s="15">
        <v>2475.020662751333</v>
      </c>
      <c r="D9" s="15">
        <v>3657.8353991693339</v>
      </c>
      <c r="E9" s="15">
        <v>3712.849552156214</v>
      </c>
      <c r="F9" s="15">
        <v>2418.4747168019999</v>
      </c>
      <c r="G9" s="15">
        <v>3586.850241913</v>
      </c>
      <c r="H9" s="15">
        <v>2916.994784356777</v>
      </c>
      <c r="I9" s="15">
        <v>2771.3153131512236</v>
      </c>
      <c r="J9" s="15">
        <v>3302.7695168973337</v>
      </c>
      <c r="K9" s="15">
        <v>4337.9427886935</v>
      </c>
      <c r="L9" s="15">
        <v>3977.6455604037237</v>
      </c>
      <c r="M9" s="15">
        <v>5397.0253780286948</v>
      </c>
      <c r="N9" s="15">
        <v>5514.4637640796664</v>
      </c>
      <c r="O9" s="15">
        <v>8135.3671429973319</v>
      </c>
      <c r="P9" s="15">
        <v>5978.9188303247811</v>
      </c>
      <c r="Q9" s="15">
        <v>8813.3654094924696</v>
      </c>
      <c r="R9" s="15">
        <v>7404.9140299073333</v>
      </c>
      <c r="S9" s="15">
        <v>8905.2953573585019</v>
      </c>
      <c r="T9" s="15">
        <v>7960.4854967340516</v>
      </c>
      <c r="U9" s="15">
        <v>9568.96799019844</v>
      </c>
      <c r="V9" s="15">
        <v>10621.048246523858</v>
      </c>
      <c r="W9" s="15">
        <v>10344.207495159673</v>
      </c>
      <c r="X9" s="15">
        <v>11414.347987493667</v>
      </c>
      <c r="Y9" s="15">
        <v>11394.438841171697</v>
      </c>
      <c r="Z9" s="15">
        <v>9064.7981237886288</v>
      </c>
      <c r="AA9" s="15"/>
      <c r="AB9" s="15"/>
      <c r="AC9" s="15"/>
      <c r="AE9" s="15">
        <f t="shared" si="1"/>
        <v>13564.521643650216</v>
      </c>
      <c r="AF9" s="15">
        <f t="shared" si="0"/>
        <v>11693.635056223</v>
      </c>
      <c r="AG9" s="15">
        <f t="shared" si="0"/>
        <v>17015.383244023251</v>
      </c>
      <c r="AH9" s="15">
        <f t="shared" si="0"/>
        <v>28442.115146894248</v>
      </c>
      <c r="AI9" s="15">
        <f t="shared" si="0"/>
        <v>33839.66287419833</v>
      </c>
      <c r="AJ9" s="15">
        <f t="shared" si="0"/>
        <v>43774.042570348902</v>
      </c>
      <c r="AK9" s="15">
        <f t="shared" si="0"/>
        <v>9064.7981237886288</v>
      </c>
    </row>
    <row r="10" spans="1:37">
      <c r="A10" s="12" t="s">
        <v>199</v>
      </c>
      <c r="B10" s="13">
        <f>SUM(B6:B9)</f>
        <v>130737.68838952626</v>
      </c>
      <c r="C10" s="13">
        <f t="shared" ref="C10:E10" si="2">SUM(C6:C9)</f>
        <v>121581.84599540736</v>
      </c>
      <c r="D10" s="13">
        <f t="shared" si="2"/>
        <v>109667.12830346056</v>
      </c>
      <c r="E10" s="13">
        <f t="shared" si="2"/>
        <v>135647.54287701502</v>
      </c>
      <c r="F10" s="13">
        <f>SUM(F6:F9)</f>
        <v>144449.73690835069</v>
      </c>
      <c r="G10" s="13">
        <f t="shared" ref="G10:K10" si="3">SUM(G6:G9)</f>
        <v>150825.18431903637</v>
      </c>
      <c r="H10" s="13">
        <f t="shared" si="3"/>
        <v>138942.95135104904</v>
      </c>
      <c r="I10" s="13">
        <f t="shared" si="3"/>
        <v>158738.40500930583</v>
      </c>
      <c r="J10" s="13">
        <f t="shared" si="3"/>
        <v>176015.89136200937</v>
      </c>
      <c r="K10" s="13">
        <f t="shared" si="3"/>
        <v>183507.16070667651</v>
      </c>
      <c r="L10" s="13">
        <f t="shared" ref="L10:M10" si="4">SUM(L6:L9)</f>
        <v>170862.61382842914</v>
      </c>
      <c r="M10" s="13">
        <f t="shared" si="4"/>
        <v>205454.10062824821</v>
      </c>
      <c r="N10" s="13">
        <f t="shared" ref="N10:O10" si="5">SUM(N6:N9)</f>
        <v>230307.316553777</v>
      </c>
      <c r="O10" s="13">
        <f t="shared" si="5"/>
        <v>225236.11619295907</v>
      </c>
      <c r="P10" s="13">
        <f t="shared" ref="P10:U10" si="6">SUM(P6:P9)</f>
        <v>193938.19927423974</v>
      </c>
      <c r="Q10" s="13">
        <f t="shared" si="6"/>
        <v>222099.32212294984</v>
      </c>
      <c r="R10" s="13">
        <f t="shared" si="6"/>
        <v>228491.55067398801</v>
      </c>
      <c r="S10" s="13">
        <f t="shared" ref="S10" si="7">SUM(S6:S9)</f>
        <v>224126.72756509256</v>
      </c>
      <c r="T10" s="13">
        <f t="shared" si="6"/>
        <v>184245.055596647</v>
      </c>
      <c r="U10" s="13">
        <f t="shared" si="6"/>
        <v>211919.18286780643</v>
      </c>
      <c r="V10" s="13">
        <f t="shared" ref="V10:W10" si="8">SUM(V6:V9)</f>
        <v>231630.78563822666</v>
      </c>
      <c r="W10" s="13">
        <f t="shared" si="8"/>
        <v>202947.05872284021</v>
      </c>
      <c r="X10" s="13">
        <f t="shared" ref="X10:Y10" si="9">SUM(X6:X9)</f>
        <v>196267.74463843691</v>
      </c>
      <c r="Y10" s="13">
        <f t="shared" si="9"/>
        <v>213438.73062247908</v>
      </c>
      <c r="Z10" s="13">
        <f t="shared" ref="Z10:AC10" si="10">SUM(Z6:Z9)</f>
        <v>222867.65414517783</v>
      </c>
      <c r="AA10" s="13"/>
      <c r="AB10" s="13"/>
      <c r="AC10" s="13"/>
      <c r="AE10" s="13">
        <f t="shared" ref="AE10:AK10" si="11">SUM(AE6:AE9)</f>
        <v>497634.20556540909</v>
      </c>
      <c r="AF10" s="13">
        <f t="shared" si="11"/>
        <v>592956.27758774185</v>
      </c>
      <c r="AG10" s="13">
        <f t="shared" si="11"/>
        <v>735839.76652536332</v>
      </c>
      <c r="AH10" s="13">
        <f t="shared" si="11"/>
        <v>871580.95414392557</v>
      </c>
      <c r="AI10" s="13">
        <f t="shared" si="11"/>
        <v>848782.51670353394</v>
      </c>
      <c r="AJ10" s="13">
        <f t="shared" si="11"/>
        <v>844284.31962198287</v>
      </c>
      <c r="AK10" s="13">
        <f t="shared" si="11"/>
        <v>222867.65414517783</v>
      </c>
    </row>
    <row r="11" spans="1:37" s="26" customFormat="1">
      <c r="A11" s="12" t="s">
        <v>103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>
        <v>0</v>
      </c>
      <c r="W11" s="13">
        <v>0</v>
      </c>
      <c r="X11" s="13">
        <v>2250</v>
      </c>
      <c r="Y11" s="13">
        <v>0</v>
      </c>
      <c r="Z11" s="13">
        <v>0</v>
      </c>
      <c r="AA11" s="13"/>
      <c r="AB11" s="13"/>
      <c r="AC11" s="13"/>
      <c r="AE11" s="13">
        <f>SUMIFS($B11:$AC11,$B$3:$AC$3,AE$3)</f>
        <v>0</v>
      </c>
      <c r="AF11" s="13">
        <f t="shared" si="0"/>
        <v>0</v>
      </c>
      <c r="AG11" s="13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2250</v>
      </c>
      <c r="AK11" s="13">
        <f t="shared" si="0"/>
        <v>0</v>
      </c>
    </row>
    <row r="12" spans="1:37" s="26" customFormat="1" ht="9.75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E12" s="13"/>
      <c r="AF12" s="13"/>
      <c r="AG12" s="13"/>
      <c r="AH12" s="13"/>
      <c r="AI12" s="13"/>
      <c r="AJ12" s="13"/>
      <c r="AK12" s="13"/>
    </row>
    <row r="13" spans="1:37">
      <c r="A13" s="12" t="s">
        <v>200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37">
      <c r="A14" s="14" t="s">
        <v>7</v>
      </c>
      <c r="B14" s="19">
        <v>9021.9358103202176</v>
      </c>
      <c r="C14" s="19">
        <v>8369.8773264273586</v>
      </c>
      <c r="D14" s="19">
        <v>7941.8087626817642</v>
      </c>
      <c r="E14" s="19">
        <v>10305.891200780532</v>
      </c>
      <c r="F14" s="19">
        <v>12021.387222391299</v>
      </c>
      <c r="G14" s="19">
        <v>12284.473200100001</v>
      </c>
      <c r="H14" s="19">
        <v>9962.7710243799993</v>
      </c>
      <c r="I14" s="19">
        <v>11430.232978783999</v>
      </c>
      <c r="J14" s="19">
        <v>13971.273110094651</v>
      </c>
      <c r="K14" s="19">
        <v>13899.882366235341</v>
      </c>
      <c r="L14" s="19">
        <v>10293.756105796012</v>
      </c>
      <c r="M14" s="19">
        <v>13522.215539426954</v>
      </c>
      <c r="N14" s="19">
        <v>13194.413093338668</v>
      </c>
      <c r="O14" s="19">
        <v>16438.873520354489</v>
      </c>
      <c r="P14" s="19">
        <v>12332.551672474818</v>
      </c>
      <c r="Q14" s="19">
        <v>15936.657148972941</v>
      </c>
      <c r="R14" s="19">
        <v>16377.900726693333</v>
      </c>
      <c r="S14" s="19">
        <v>18887.562185226474</v>
      </c>
      <c r="T14" s="19">
        <v>14882.540484645142</v>
      </c>
      <c r="U14" s="19">
        <v>15586.616345587767</v>
      </c>
      <c r="V14" s="19">
        <v>17590.306240782091</v>
      </c>
      <c r="W14" s="19">
        <v>15043.319542523672</v>
      </c>
      <c r="X14" s="19">
        <v>14754.060593385755</v>
      </c>
      <c r="Y14" s="19">
        <v>15051.984738852827</v>
      </c>
      <c r="Z14" s="19">
        <v>13334.263638374574</v>
      </c>
      <c r="AA14" s="19"/>
      <c r="AB14" s="19"/>
      <c r="AC14" s="19"/>
      <c r="AE14" s="15">
        <f>SUMIFS($B14:$AC14,$B$3:$AC$3,AE$3)</f>
        <v>35639.513100209871</v>
      </c>
      <c r="AF14" s="15">
        <f t="shared" ref="AF14:AK14" si="12">SUMIFS($B14:$AC14,$B$3:$AC$3,AF$3)</f>
        <v>45698.864425655294</v>
      </c>
      <c r="AG14" s="15">
        <f t="shared" si="12"/>
        <v>51687.127121552956</v>
      </c>
      <c r="AH14" s="15">
        <f t="shared" si="12"/>
        <v>57902.495435140911</v>
      </c>
      <c r="AI14" s="15">
        <f t="shared" si="12"/>
        <v>65734.619742152718</v>
      </c>
      <c r="AJ14" s="15">
        <f t="shared" si="12"/>
        <v>62439.671115544348</v>
      </c>
      <c r="AK14" s="15">
        <f t="shared" si="12"/>
        <v>13334.263638374574</v>
      </c>
    </row>
    <row r="15" spans="1:37">
      <c r="A15" s="12" t="s">
        <v>8</v>
      </c>
      <c r="B15" s="13">
        <f t="shared" ref="B15:M15" si="13">+B10-B14</f>
        <v>121715.75257920605</v>
      </c>
      <c r="C15" s="13">
        <f t="shared" si="13"/>
        <v>113211.96866898</v>
      </c>
      <c r="D15" s="13">
        <f t="shared" si="13"/>
        <v>101725.3195407788</v>
      </c>
      <c r="E15" s="13">
        <f t="shared" si="13"/>
        <v>125341.65167623448</v>
      </c>
      <c r="F15" s="13">
        <f t="shared" si="13"/>
        <v>132428.3496859594</v>
      </c>
      <c r="G15" s="13">
        <f t="shared" si="13"/>
        <v>138540.71111893636</v>
      </c>
      <c r="H15" s="13">
        <f t="shared" si="13"/>
        <v>128980.18032666904</v>
      </c>
      <c r="I15" s="13">
        <f t="shared" si="13"/>
        <v>147308.17203052185</v>
      </c>
      <c r="J15" s="13">
        <f t="shared" si="13"/>
        <v>162044.61825191471</v>
      </c>
      <c r="K15" s="13">
        <f t="shared" si="13"/>
        <v>169607.27834044117</v>
      </c>
      <c r="L15" s="13">
        <f t="shared" si="13"/>
        <v>160568.85772263311</v>
      </c>
      <c r="M15" s="13">
        <f t="shared" si="13"/>
        <v>191931.88508882126</v>
      </c>
      <c r="N15" s="13">
        <f t="shared" ref="N15:V15" si="14">+N10-N14</f>
        <v>217112.90346043833</v>
      </c>
      <c r="O15" s="13">
        <f t="shared" si="14"/>
        <v>208797.2426726046</v>
      </c>
      <c r="P15" s="13">
        <f t="shared" si="14"/>
        <v>181605.64760176491</v>
      </c>
      <c r="Q15" s="13">
        <f t="shared" si="14"/>
        <v>206162.66497397691</v>
      </c>
      <c r="R15" s="13">
        <f t="shared" si="14"/>
        <v>212113.64994729467</v>
      </c>
      <c r="S15" s="13">
        <f t="shared" ref="S15" si="15">+S10-S14</f>
        <v>205239.16537986608</v>
      </c>
      <c r="T15" s="13">
        <f t="shared" si="14"/>
        <v>169362.51511200186</v>
      </c>
      <c r="U15" s="13">
        <f t="shared" si="14"/>
        <v>196332.56652221867</v>
      </c>
      <c r="V15" s="13">
        <f t="shared" si="14"/>
        <v>214040.47939744458</v>
      </c>
      <c r="W15" s="13">
        <f t="shared" ref="W15:X15" si="16">+W10-W14</f>
        <v>187903.73918031654</v>
      </c>
      <c r="X15" s="13">
        <f t="shared" si="16"/>
        <v>181513.68404505117</v>
      </c>
      <c r="Y15" s="13">
        <f t="shared" ref="Y15:Z15" si="17">+Y10-Y14</f>
        <v>198386.74588362625</v>
      </c>
      <c r="Z15" s="13">
        <f t="shared" si="17"/>
        <v>209533.39050680326</v>
      </c>
      <c r="AA15" s="13"/>
      <c r="AB15" s="13"/>
      <c r="AC15" s="13"/>
      <c r="AE15" s="13">
        <f t="shared" ref="AC15:AK15" si="18">+AE10-AE14</f>
        <v>461994.69246519922</v>
      </c>
      <c r="AF15" s="13">
        <f t="shared" si="18"/>
        <v>547257.41316208651</v>
      </c>
      <c r="AG15" s="13">
        <f t="shared" si="18"/>
        <v>684152.63940381038</v>
      </c>
      <c r="AH15" s="13">
        <f t="shared" si="18"/>
        <v>813678.45870878466</v>
      </c>
      <c r="AI15" s="13">
        <f t="shared" si="18"/>
        <v>783047.89696138119</v>
      </c>
      <c r="AJ15" s="13">
        <f t="shared" si="18"/>
        <v>781844.64850643848</v>
      </c>
      <c r="AK15" s="13">
        <f t="shared" si="18"/>
        <v>209533.39050680326</v>
      </c>
    </row>
    <row r="16" spans="1:37">
      <c r="A16" s="25" t="s">
        <v>9</v>
      </c>
      <c r="B16" s="20">
        <f t="shared" ref="B16:AK16" si="19">+IFERROR(B15/B10,0)</f>
        <v>0.93099208100238229</v>
      </c>
      <c r="C16" s="20">
        <f t="shared" si="19"/>
        <v>0.93115849444543286</v>
      </c>
      <c r="D16" s="20">
        <f t="shared" si="19"/>
        <v>0.92758259575553093</v>
      </c>
      <c r="E16" s="20">
        <f t="shared" si="19"/>
        <v>0.92402449036526679</v>
      </c>
      <c r="F16" s="20">
        <f t="shared" si="19"/>
        <v>0.91677806080035629</v>
      </c>
      <c r="G16" s="20">
        <f t="shared" si="19"/>
        <v>0.91855157840142265</v>
      </c>
      <c r="H16" s="20">
        <f t="shared" si="19"/>
        <v>0.92829595940273102</v>
      </c>
      <c r="I16" s="20">
        <f t="shared" si="19"/>
        <v>0.92799327309535518</v>
      </c>
      <c r="J16" s="20">
        <f t="shared" si="19"/>
        <v>0.92062493333991002</v>
      </c>
      <c r="K16" s="20">
        <f t="shared" si="19"/>
        <v>0.92425427807444893</v>
      </c>
      <c r="L16" s="20">
        <f t="shared" si="19"/>
        <v>0.9397541927098666</v>
      </c>
      <c r="M16" s="20">
        <f t="shared" si="19"/>
        <v>0.93418376416884341</v>
      </c>
      <c r="N16" s="20">
        <f t="shared" si="19"/>
        <v>0.94270953571612759</v>
      </c>
      <c r="O16" s="20">
        <f t="shared" si="19"/>
        <v>0.92701493082809439</v>
      </c>
      <c r="P16" s="20">
        <f t="shared" si="19"/>
        <v>0.93640988872421216</v>
      </c>
      <c r="Q16" s="20">
        <f t="shared" si="19"/>
        <v>0.92824535889330306</v>
      </c>
      <c r="R16" s="20">
        <f t="shared" si="19"/>
        <v>0.92832163518352007</v>
      </c>
      <c r="S16" s="20">
        <f t="shared" si="19"/>
        <v>0.91572820256459142</v>
      </c>
      <c r="T16" s="20">
        <f t="shared" si="19"/>
        <v>0.91922420693217244</v>
      </c>
      <c r="U16" s="20">
        <f t="shared" si="19"/>
        <v>0.92645018664822532</v>
      </c>
      <c r="V16" s="20">
        <f t="shared" si="19"/>
        <v>0.92405885861711157</v>
      </c>
      <c r="W16" s="20">
        <f t="shared" si="19"/>
        <v>0.92587564640161668</v>
      </c>
      <c r="X16" s="20">
        <f t="shared" si="19"/>
        <v>0.92482687045410561</v>
      </c>
      <c r="Y16" s="20">
        <f t="shared" si="19"/>
        <v>0.92947866258876832</v>
      </c>
      <c r="Z16" s="20">
        <f t="shared" si="19"/>
        <v>0.94016958768862657</v>
      </c>
      <c r="AA16" s="20"/>
      <c r="AB16" s="20"/>
      <c r="AC16" s="20"/>
      <c r="AE16" s="20">
        <f t="shared" si="19"/>
        <v>0.92838210737600635</v>
      </c>
      <c r="AF16" s="20">
        <f t="shared" si="19"/>
        <v>0.92293046527550571</v>
      </c>
      <c r="AG16" s="20">
        <f t="shared" si="19"/>
        <v>0.92975763274439538</v>
      </c>
      <c r="AH16" s="20">
        <f t="shared" si="19"/>
        <v>0.93356613042099656</v>
      </c>
      <c r="AI16" s="20">
        <f t="shared" si="19"/>
        <v>0.92255422508294571</v>
      </c>
      <c r="AJ16" s="20">
        <f t="shared" si="19"/>
        <v>0.92604426060701805</v>
      </c>
      <c r="AK16" s="20">
        <f t="shared" si="19"/>
        <v>0.94016958768862657</v>
      </c>
    </row>
    <row r="17" spans="1:37" ht="6.75" customHeight="1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E17" s="20"/>
      <c r="AF17" s="20"/>
      <c r="AG17" s="20"/>
      <c r="AH17" s="20"/>
      <c r="AI17" s="20"/>
      <c r="AJ17" s="20"/>
      <c r="AK17" s="20"/>
    </row>
    <row r="18" spans="1:37">
      <c r="A18" s="14" t="s">
        <v>10</v>
      </c>
      <c r="B18" s="19">
        <v>84272.961694848564</v>
      </c>
      <c r="C18" s="19">
        <v>81461.234681796195</v>
      </c>
      <c r="D18" s="19">
        <v>73192.31568979763</v>
      </c>
      <c r="E18" s="19">
        <v>92767.419286066375</v>
      </c>
      <c r="F18" s="19">
        <v>95814.674547864997</v>
      </c>
      <c r="G18" s="19">
        <v>100779.08025086799</v>
      </c>
      <c r="H18" s="19">
        <v>97000.922307810004</v>
      </c>
      <c r="I18" s="19">
        <v>110092.892876953</v>
      </c>
      <c r="J18" s="19">
        <v>116976.14389316743</v>
      </c>
      <c r="K18" s="19">
        <v>127986.42056006604</v>
      </c>
      <c r="L18" s="19">
        <v>124641.18862823586</v>
      </c>
      <c r="M18" s="19">
        <v>145514.50773035249</v>
      </c>
      <c r="N18" s="19">
        <v>157953.62380994402</v>
      </c>
      <c r="O18" s="19">
        <v>165088.98130202893</v>
      </c>
      <c r="P18" s="19">
        <v>148774.27360140474</v>
      </c>
      <c r="Q18" s="19">
        <v>162542.54979566514</v>
      </c>
      <c r="R18" s="19">
        <v>169296.60902321289</v>
      </c>
      <c r="S18" s="19">
        <v>161320.62628148598</v>
      </c>
      <c r="T18" s="19">
        <v>146124.72818276001</v>
      </c>
      <c r="U18" s="19">
        <v>157566.80468481313</v>
      </c>
      <c r="V18" s="19">
        <v>167188.03956540045</v>
      </c>
      <c r="W18" s="19">
        <v>158163.94842821313</v>
      </c>
      <c r="X18" s="19">
        <v>151893.7723577593</v>
      </c>
      <c r="Y18" s="19">
        <v>166664.16772807529</v>
      </c>
      <c r="Z18" s="19">
        <v>162733.31537505583</v>
      </c>
      <c r="AA18" s="19"/>
      <c r="AB18" s="19"/>
      <c r="AC18" s="19"/>
      <c r="AE18" s="15">
        <f t="shared" ref="AE18:AK21" si="20">SUMIFS($B18:$AC18,$B$3:$AC$3,AE$3)</f>
        <v>331693.93135250878</v>
      </c>
      <c r="AF18" s="15">
        <f t="shared" si="20"/>
        <v>403687.56998349598</v>
      </c>
      <c r="AG18" s="15">
        <f t="shared" si="20"/>
        <v>515118.26081182179</v>
      </c>
      <c r="AH18" s="15">
        <f t="shared" si="20"/>
        <v>634359.42850904283</v>
      </c>
      <c r="AI18" s="15">
        <f t="shared" si="20"/>
        <v>634308.76817227202</v>
      </c>
      <c r="AJ18" s="15">
        <f t="shared" si="20"/>
        <v>643909.92807944817</v>
      </c>
      <c r="AK18" s="15">
        <f t="shared" si="20"/>
        <v>162733.31537505583</v>
      </c>
    </row>
    <row r="19" spans="1:37">
      <c r="A19" s="14" t="s">
        <v>11</v>
      </c>
      <c r="B19" s="19">
        <v>10970.396258111563</v>
      </c>
      <c r="C19" s="19">
        <v>8259.1515721115138</v>
      </c>
      <c r="D19" s="19">
        <v>9444.3363043027293</v>
      </c>
      <c r="E19" s="19">
        <v>11318.823741675829</v>
      </c>
      <c r="F19" s="19">
        <v>8488.6230771176615</v>
      </c>
      <c r="G19" s="19">
        <v>9201.7254492040956</v>
      </c>
      <c r="H19" s="19">
        <v>11411.982927021634</v>
      </c>
      <c r="I19" s="19">
        <v>12841.699964021926</v>
      </c>
      <c r="J19" s="19">
        <v>11752.077120408951</v>
      </c>
      <c r="K19" s="19">
        <v>12807.747100178996</v>
      </c>
      <c r="L19" s="19">
        <v>17266.382448015611</v>
      </c>
      <c r="M19" s="19">
        <v>18237.046125984874</v>
      </c>
      <c r="N19" s="19">
        <v>18348.867571991839</v>
      </c>
      <c r="O19" s="19">
        <v>17336.101839778217</v>
      </c>
      <c r="P19" s="19">
        <v>15898.840710682736</v>
      </c>
      <c r="Q19" s="19">
        <v>17083.171207922409</v>
      </c>
      <c r="R19" s="19">
        <v>15112.390952925154</v>
      </c>
      <c r="S19" s="19">
        <v>14490.899213542405</v>
      </c>
      <c r="T19" s="19">
        <v>14950.687484348426</v>
      </c>
      <c r="U19" s="19">
        <v>18776.243333632239</v>
      </c>
      <c r="V19" s="19">
        <v>17767.731090808782</v>
      </c>
      <c r="W19" s="19">
        <v>17355.988936400165</v>
      </c>
      <c r="X19" s="19">
        <v>16343.27079604649</v>
      </c>
      <c r="Y19" s="19">
        <v>19817.895452037228</v>
      </c>
      <c r="Z19" s="19">
        <v>22186.300602057523</v>
      </c>
      <c r="AA19" s="19"/>
      <c r="AB19" s="19"/>
      <c r="AC19" s="19"/>
      <c r="AE19" s="15">
        <f t="shared" si="20"/>
        <v>39992.707876201632</v>
      </c>
      <c r="AF19" s="15">
        <f t="shared" si="20"/>
        <v>41944.031417365317</v>
      </c>
      <c r="AG19" s="15">
        <f t="shared" si="20"/>
        <v>60063.252794588429</v>
      </c>
      <c r="AH19" s="15">
        <f t="shared" si="20"/>
        <v>68666.981330375202</v>
      </c>
      <c r="AI19" s="15">
        <f t="shared" si="20"/>
        <v>63330.220984448228</v>
      </c>
      <c r="AJ19" s="15">
        <f t="shared" si="20"/>
        <v>71284.886275292665</v>
      </c>
      <c r="AK19" s="15">
        <f t="shared" si="20"/>
        <v>22186.300602057523</v>
      </c>
    </row>
    <row r="20" spans="1:37">
      <c r="A20" s="14" t="s">
        <v>12</v>
      </c>
      <c r="B20" s="19">
        <v>7781.01547952705</v>
      </c>
      <c r="C20" s="19">
        <v>7939.4207809527798</v>
      </c>
      <c r="D20" s="19">
        <v>7766.5109517841665</v>
      </c>
      <c r="E20" s="19">
        <v>7643.7858568173133</v>
      </c>
      <c r="F20" s="19">
        <v>6000.1131196837705</v>
      </c>
      <c r="G20" s="19">
        <v>6110.7738120905096</v>
      </c>
      <c r="H20" s="19">
        <v>6217.7748460099601</v>
      </c>
      <c r="I20" s="19">
        <v>6253.0749999999998</v>
      </c>
      <c r="J20" s="19">
        <v>7170.6050540167917</v>
      </c>
      <c r="K20" s="19">
        <v>7317.6810355179568</v>
      </c>
      <c r="L20" s="19">
        <v>8506.7497310119252</v>
      </c>
      <c r="M20" s="19">
        <v>8757.8407362646212</v>
      </c>
      <c r="N20" s="19">
        <v>7588.9687517234106</v>
      </c>
      <c r="O20" s="19">
        <v>8000.0117718710953</v>
      </c>
      <c r="P20" s="19">
        <v>8231.2263429756385</v>
      </c>
      <c r="Q20" s="19">
        <v>8478.933953869906</v>
      </c>
      <c r="R20" s="19">
        <v>8467.5507706558165</v>
      </c>
      <c r="S20" s="19">
        <v>8318.9175141482738</v>
      </c>
      <c r="T20" s="19">
        <v>8140.110637187121</v>
      </c>
      <c r="U20" s="19">
        <v>8082.5332123110347</v>
      </c>
      <c r="V20" s="19">
        <v>8043.1550508749242</v>
      </c>
      <c r="W20" s="19">
        <v>8029.2872781566221</v>
      </c>
      <c r="X20" s="19">
        <v>7971.4743941997513</v>
      </c>
      <c r="Y20" s="19">
        <v>8057.0728790091453</v>
      </c>
      <c r="Z20" s="19">
        <v>7951.3792042007935</v>
      </c>
      <c r="AA20" s="19"/>
      <c r="AB20" s="19"/>
      <c r="AC20" s="19"/>
      <c r="AE20" s="15">
        <f t="shared" si="20"/>
        <v>31130.733069081311</v>
      </c>
      <c r="AF20" s="15">
        <f t="shared" si="20"/>
        <v>24581.736777784241</v>
      </c>
      <c r="AG20" s="15">
        <f t="shared" si="20"/>
        <v>31752.876556811294</v>
      </c>
      <c r="AH20" s="15">
        <f t="shared" si="20"/>
        <v>32299.14082044005</v>
      </c>
      <c r="AI20" s="15">
        <f t="shared" si="20"/>
        <v>33009.112134302246</v>
      </c>
      <c r="AJ20" s="15">
        <f t="shared" si="20"/>
        <v>32100.989602240443</v>
      </c>
      <c r="AK20" s="15">
        <f t="shared" si="20"/>
        <v>7951.3792042007935</v>
      </c>
    </row>
    <row r="21" spans="1:37">
      <c r="A21" s="14" t="s">
        <v>176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4391.4174322416702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/>
      <c r="AB21" s="19"/>
      <c r="AC21" s="19"/>
      <c r="AE21" s="15">
        <f t="shared" si="20"/>
        <v>0</v>
      </c>
      <c r="AF21" s="15">
        <f t="shared" si="20"/>
        <v>0</v>
      </c>
      <c r="AG21" s="15">
        <f t="shared" si="20"/>
        <v>0</v>
      </c>
      <c r="AH21" s="15">
        <f t="shared" si="20"/>
        <v>0</v>
      </c>
      <c r="AI21" s="15">
        <f t="shared" si="20"/>
        <v>4391.4174322416702</v>
      </c>
      <c r="AJ21" s="15">
        <f t="shared" si="20"/>
        <v>0</v>
      </c>
      <c r="AK21" s="15">
        <f t="shared" si="20"/>
        <v>0</v>
      </c>
    </row>
    <row r="22" spans="1:37">
      <c r="A22" s="12" t="s">
        <v>13</v>
      </c>
      <c r="B22" s="13">
        <f t="shared" ref="B22:T22" si="21">SUM(B14,B18:B20)</f>
        <v>112046.30924280739</v>
      </c>
      <c r="C22" s="13">
        <f t="shared" si="21"/>
        <v>106029.68436128786</v>
      </c>
      <c r="D22" s="13">
        <f t="shared" si="21"/>
        <v>98344.971708566285</v>
      </c>
      <c r="E22" s="13">
        <f t="shared" si="21"/>
        <v>122035.92008534005</v>
      </c>
      <c r="F22" s="13">
        <f t="shared" si="21"/>
        <v>122324.79796705772</v>
      </c>
      <c r="G22" s="13">
        <f t="shared" si="21"/>
        <v>128376.05271226261</v>
      </c>
      <c r="H22" s="13">
        <f t="shared" si="21"/>
        <v>124593.45110522158</v>
      </c>
      <c r="I22" s="13">
        <f t="shared" si="21"/>
        <v>140617.90081975894</v>
      </c>
      <c r="J22" s="13">
        <f t="shared" si="21"/>
        <v>149870.09917768781</v>
      </c>
      <c r="K22" s="13">
        <f t="shared" si="21"/>
        <v>162011.73106199832</v>
      </c>
      <c r="L22" s="13">
        <f t="shared" si="21"/>
        <v>160708.0769130594</v>
      </c>
      <c r="M22" s="13">
        <f t="shared" si="21"/>
        <v>186031.61013202893</v>
      </c>
      <c r="N22" s="13">
        <f t="shared" si="21"/>
        <v>197085.87322699794</v>
      </c>
      <c r="O22" s="13">
        <f t="shared" si="21"/>
        <v>206863.96843403272</v>
      </c>
      <c r="P22" s="13">
        <f t="shared" si="21"/>
        <v>185236.89232753793</v>
      </c>
      <c r="Q22" s="13">
        <f t="shared" si="21"/>
        <v>204041.31210643041</v>
      </c>
      <c r="R22" s="13">
        <f t="shared" si="21"/>
        <v>209254.45147348722</v>
      </c>
      <c r="S22" s="13">
        <f t="shared" ref="S22" si="22">SUM(S14,S18:S20)</f>
        <v>203018.00519440314</v>
      </c>
      <c r="T22" s="13">
        <f t="shared" si="21"/>
        <v>184098.06678894069</v>
      </c>
      <c r="U22" s="13">
        <f t="shared" ref="U22:Z22" si="23">SUM(U14,U18:U21)</f>
        <v>204403.61500858585</v>
      </c>
      <c r="V22" s="13">
        <f t="shared" si="23"/>
        <v>210589.23194786624</v>
      </c>
      <c r="W22" s="13">
        <f t="shared" si="23"/>
        <v>198592.54418529358</v>
      </c>
      <c r="X22" s="13">
        <f t="shared" si="23"/>
        <v>190962.57814139131</v>
      </c>
      <c r="Y22" s="13">
        <f t="shared" si="23"/>
        <v>209591.12079797449</v>
      </c>
      <c r="Z22" s="13">
        <f t="shared" si="23"/>
        <v>206205.25881968869</v>
      </c>
      <c r="AA22" s="13"/>
      <c r="AB22" s="13"/>
      <c r="AC22" s="13"/>
      <c r="AE22" s="13">
        <f t="shared" ref="AE22:AK22" si="24">SUM(AE14,AE18:AE21)</f>
        <v>438456.88539800164</v>
      </c>
      <c r="AF22" s="13">
        <f t="shared" si="24"/>
        <v>515912.20260430081</v>
      </c>
      <c r="AG22" s="13">
        <f t="shared" si="24"/>
        <v>658621.51728477445</v>
      </c>
      <c r="AH22" s="13">
        <f t="shared" si="24"/>
        <v>793228.04609499895</v>
      </c>
      <c r="AI22" s="13">
        <f t="shared" si="24"/>
        <v>800774.13846541697</v>
      </c>
      <c r="AJ22" s="13">
        <f t="shared" si="24"/>
        <v>809735.47507252567</v>
      </c>
      <c r="AK22" s="13">
        <f t="shared" si="24"/>
        <v>206205.25881968869</v>
      </c>
    </row>
    <row r="23" spans="1:37" s="26" customFormat="1" ht="9.75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E23" s="13"/>
      <c r="AF23" s="13"/>
      <c r="AG23" s="13"/>
      <c r="AH23" s="13"/>
      <c r="AI23" s="13"/>
      <c r="AJ23" s="13"/>
      <c r="AK23" s="13"/>
    </row>
    <row r="24" spans="1:37" s="26" customFormat="1">
      <c r="A24" s="12" t="s">
        <v>14</v>
      </c>
      <c r="B24" s="13">
        <v>26472.394626245892</v>
      </c>
      <c r="C24" s="13">
        <v>23491.582415072298</v>
      </c>
      <c r="D24" s="13">
        <v>19088.667546678455</v>
      </c>
      <c r="E24" s="13">
        <v>21255.346299692177</v>
      </c>
      <c r="F24" s="13">
        <v>28125.050150977029</v>
      </c>
      <c r="G24" s="13">
        <v>28559.902328863882</v>
      </c>
      <c r="H24" s="13">
        <v>20567.275091837386</v>
      </c>
      <c r="I24" s="13">
        <v>24373.578189547046</v>
      </c>
      <c r="J24" s="13">
        <v>33316.397238338322</v>
      </c>
      <c r="K24" s="13">
        <v>28813.11068019615</v>
      </c>
      <c r="L24" s="13">
        <v>18661.286646381577</v>
      </c>
      <c r="M24" s="13">
        <v>28180.331232484077</v>
      </c>
      <c r="N24" s="13">
        <v>40810.412078502442</v>
      </c>
      <c r="O24" s="13">
        <v>26372.159530797449</v>
      </c>
      <c r="P24" s="13">
        <v>16932.533289677445</v>
      </c>
      <c r="Q24" s="13">
        <v>26536.943970389366</v>
      </c>
      <c r="R24" s="13">
        <v>27704.649971156603</v>
      </c>
      <c r="S24" s="13">
        <v>29427.639884837688</v>
      </c>
      <c r="T24" s="13">
        <v>8287.0994448933998</v>
      </c>
      <c r="U24" s="13">
        <v>15598.101071531615</v>
      </c>
      <c r="V24" s="13">
        <v>29084.708741235318</v>
      </c>
      <c r="W24" s="13">
        <v>12383.80181570326</v>
      </c>
      <c r="X24" s="13">
        <v>15526.640891245414</v>
      </c>
      <c r="Y24" s="13">
        <v>11904.682703513703</v>
      </c>
      <c r="Z24" s="13">
        <v>24613.77452968993</v>
      </c>
      <c r="AA24" s="13"/>
      <c r="AB24" s="13"/>
      <c r="AC24" s="13"/>
      <c r="AE24" s="13">
        <f t="shared" ref="AE24:AK24" si="25">SUMIFS($B24:$AC24,$B$3:$AC$3,AE$3)</f>
        <v>90307.990887688822</v>
      </c>
      <c r="AF24" s="13">
        <f t="shared" si="25"/>
        <v>101625.80576122533</v>
      </c>
      <c r="AG24" s="13">
        <f t="shared" si="25"/>
        <v>108971.12579740013</v>
      </c>
      <c r="AH24" s="13">
        <f t="shared" si="25"/>
        <v>110652.0488693667</v>
      </c>
      <c r="AI24" s="13">
        <f t="shared" si="25"/>
        <v>81017.490372419299</v>
      </c>
      <c r="AJ24" s="13">
        <f t="shared" si="25"/>
        <v>68899.834151697694</v>
      </c>
      <c r="AK24" s="13">
        <f t="shared" si="25"/>
        <v>24613.77452968993</v>
      </c>
    </row>
    <row r="25" spans="1:37">
      <c r="A25" s="14" t="s">
        <v>177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2999.34</v>
      </c>
      <c r="R25" s="19">
        <v>0</v>
      </c>
      <c r="S25" s="19">
        <v>0</v>
      </c>
      <c r="T25" s="19">
        <v>0</v>
      </c>
      <c r="U25" s="19">
        <v>4391.4174322416702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/>
      <c r="AB25" s="19"/>
      <c r="AC25" s="19"/>
      <c r="AE25" s="15">
        <f>SUMIFS($B25:$AC25,$B$3:$AC$3,AE$3)</f>
        <v>0</v>
      </c>
      <c r="AF25" s="15">
        <f t="shared" ref="AF25:AK25" si="26">SUMIFS($B25:$AC25,$B$3:$AC$3,AF$3)</f>
        <v>0</v>
      </c>
      <c r="AG25" s="15">
        <f t="shared" si="26"/>
        <v>0</v>
      </c>
      <c r="AH25" s="15">
        <f t="shared" si="26"/>
        <v>2999.34</v>
      </c>
      <c r="AI25" s="15">
        <f t="shared" si="26"/>
        <v>4391.4174322416702</v>
      </c>
      <c r="AJ25" s="15">
        <f t="shared" si="26"/>
        <v>0</v>
      </c>
      <c r="AK25" s="15">
        <f t="shared" si="26"/>
        <v>0</v>
      </c>
    </row>
    <row r="26" spans="1:37">
      <c r="A26" s="12" t="s">
        <v>178</v>
      </c>
      <c r="B26" s="13">
        <v>26472.394626245892</v>
      </c>
      <c r="C26" s="13">
        <v>23491.582415072291</v>
      </c>
      <c r="D26" s="13">
        <v>19088.667546678451</v>
      </c>
      <c r="E26" s="13">
        <v>21255.346299692173</v>
      </c>
      <c r="F26" s="13">
        <v>28125.05015097704</v>
      </c>
      <c r="G26" s="13">
        <v>28559.902328863885</v>
      </c>
      <c r="H26" s="13">
        <v>20567.275091837379</v>
      </c>
      <c r="I26" s="13">
        <v>24373.578189547043</v>
      </c>
      <c r="J26" s="13">
        <v>33316.397238338322</v>
      </c>
      <c r="K26" s="13">
        <v>28813.110680196143</v>
      </c>
      <c r="L26" s="13">
        <v>18661.286646381574</v>
      </c>
      <c r="M26" s="13">
        <v>28180.331232484081</v>
      </c>
      <c r="N26" s="13">
        <v>40810.412078502442</v>
      </c>
      <c r="O26" s="13">
        <v>26372.159530797449</v>
      </c>
      <c r="P26" s="13">
        <v>16932.533289677434</v>
      </c>
      <c r="Q26" s="13">
        <v>29536.283970389373</v>
      </c>
      <c r="R26" s="13">
        <v>27704.649971156614</v>
      </c>
      <c r="S26" s="13">
        <v>29427.639884837699</v>
      </c>
      <c r="T26" s="13">
        <v>8287.0994448933925</v>
      </c>
      <c r="U26" s="13">
        <v>19989.518503773292</v>
      </c>
      <c r="V26" s="13">
        <v>29084.708741235314</v>
      </c>
      <c r="W26" s="13">
        <v>12383.801815703249</v>
      </c>
      <c r="X26" s="13">
        <v>15526.640891245421</v>
      </c>
      <c r="Y26" s="13">
        <v>11904.68270351371</v>
      </c>
      <c r="Z26" s="13">
        <v>24613.774529689923</v>
      </c>
      <c r="AA26" s="13"/>
      <c r="AB26" s="13"/>
      <c r="AC26" s="13"/>
      <c r="AE26" s="13">
        <f t="shared" ref="AE26:AK26" si="27">SUMIFS($B26:$AC26,$B$3:$AC$3,AE$3)</f>
        <v>90307.990887688808</v>
      </c>
      <c r="AF26" s="13">
        <f t="shared" si="27"/>
        <v>101625.80576122535</v>
      </c>
      <c r="AG26" s="13">
        <f t="shared" si="27"/>
        <v>108971.12579740012</v>
      </c>
      <c r="AH26" s="13">
        <f t="shared" si="27"/>
        <v>113651.3888693667</v>
      </c>
      <c r="AI26" s="13">
        <f t="shared" si="27"/>
        <v>85408.907804660994</v>
      </c>
      <c r="AJ26" s="13">
        <f t="shared" si="27"/>
        <v>68899.834151697694</v>
      </c>
      <c r="AK26" s="13">
        <f t="shared" si="27"/>
        <v>24613.774529689923</v>
      </c>
    </row>
    <row r="27" spans="1:37">
      <c r="A27" s="14" t="s">
        <v>179</v>
      </c>
      <c r="B27" s="20">
        <f>+IFERROR(B26/B10,0)</f>
        <v>0.20248479954282766</v>
      </c>
      <c r="C27" s="20">
        <f t="shared" ref="C27:AC27" si="28">+IFERROR(C26/C10,0)</f>
        <v>0.19321620117496541</v>
      </c>
      <c r="D27" s="20">
        <f t="shared" si="28"/>
        <v>0.17406006560013212</v>
      </c>
      <c r="E27" s="20">
        <f t="shared" si="28"/>
        <v>0.15669540228209924</v>
      </c>
      <c r="F27" s="20">
        <f t="shared" si="28"/>
        <v>0.19470475165227608</v>
      </c>
      <c r="G27" s="20">
        <f t="shared" si="28"/>
        <v>0.18935764910753836</v>
      </c>
      <c r="H27" s="20">
        <f t="shared" si="28"/>
        <v>0.14802676128472847</v>
      </c>
      <c r="I27" s="20">
        <f t="shared" si="28"/>
        <v>0.15354556566268998</v>
      </c>
      <c r="J27" s="20">
        <f t="shared" si="28"/>
        <v>0.18928062108788216</v>
      </c>
      <c r="K27" s="20">
        <f t="shared" si="28"/>
        <v>0.15701354960339617</v>
      </c>
      <c r="L27" s="20">
        <f t="shared" si="28"/>
        <v>0.1092180801185695</v>
      </c>
      <c r="M27" s="20">
        <f t="shared" si="28"/>
        <v>0.13716120119439232</v>
      </c>
      <c r="N27" s="20">
        <f t="shared" si="28"/>
        <v>0.17719980714973582</v>
      </c>
      <c r="O27" s="20">
        <f t="shared" si="28"/>
        <v>0.11708672648308543</v>
      </c>
      <c r="P27" s="20">
        <f t="shared" si="28"/>
        <v>8.7308912597119981E-2</v>
      </c>
      <c r="Q27" s="20">
        <f t="shared" si="28"/>
        <v>0.13298682629044073</v>
      </c>
      <c r="R27" s="20">
        <f t="shared" si="28"/>
        <v>0.12125021642785225</v>
      </c>
      <c r="S27" s="20">
        <f t="shared" si="28"/>
        <v>0.13129911012639536</v>
      </c>
      <c r="T27" s="20">
        <f t="shared" si="28"/>
        <v>4.4978680258512219E-2</v>
      </c>
      <c r="U27" s="20">
        <f t="shared" si="28"/>
        <v>9.4326139961773067E-2</v>
      </c>
      <c r="V27" s="20">
        <f t="shared" si="28"/>
        <v>0.12556495312614174</v>
      </c>
      <c r="W27" s="20">
        <f t="shared" si="28"/>
        <v>6.1019863473929431E-2</v>
      </c>
      <c r="X27" s="20">
        <f t="shared" si="28"/>
        <v>7.9109488519616369E-2</v>
      </c>
      <c r="Y27" s="20">
        <f t="shared" si="28"/>
        <v>5.5775644227242821E-2</v>
      </c>
      <c r="Z27" s="20">
        <f t="shared" si="28"/>
        <v>0.11044121509735239</v>
      </c>
      <c r="AA27" s="20"/>
      <c r="AB27" s="20"/>
      <c r="AC27" s="20"/>
      <c r="AE27" s="20">
        <f t="shared" ref="AE27" si="29">+IFERROR(AE26/AE10,0)</f>
        <v>0.18147464518658116</v>
      </c>
      <c r="AF27" s="20">
        <f t="shared" ref="AF27" si="30">+IFERROR(AF26/AF10,0)</f>
        <v>0.17138836302510924</v>
      </c>
      <c r="AG27" s="20">
        <f t="shared" ref="AG27" si="31">+IFERROR(AG26/AG10,0)</f>
        <v>0.14809083547082807</v>
      </c>
      <c r="AH27" s="20">
        <f t="shared" ref="AH27" si="32">+IFERROR(AH26/AH10,0)</f>
        <v>0.13039682467705604</v>
      </c>
      <c r="AI27" s="20">
        <f t="shared" ref="AI27" si="33">+IFERROR(AI26/AI10,0)</f>
        <v>0.10062519682470433</v>
      </c>
      <c r="AJ27" s="20">
        <f t="shared" ref="AJ27" si="34">+IFERROR(AJ26/AJ10,0)</f>
        <v>8.1607383378322934E-2</v>
      </c>
      <c r="AK27" s="20">
        <f t="shared" ref="AK27" si="35">+IFERROR(AK26/AK10,0)</f>
        <v>0.11044121509735239</v>
      </c>
    </row>
    <row r="28" spans="1:37" s="26" customFormat="1" ht="9.7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E28" s="13"/>
      <c r="AF28" s="13"/>
      <c r="AG28" s="13"/>
      <c r="AH28" s="13"/>
      <c r="AI28" s="13"/>
      <c r="AJ28" s="13"/>
      <c r="AK28" s="13"/>
    </row>
    <row r="29" spans="1:37">
      <c r="A29" s="12" t="s">
        <v>180</v>
      </c>
      <c r="B29" s="13">
        <v>18691.379146718842</v>
      </c>
      <c r="C29" s="13">
        <v>15552.161634119519</v>
      </c>
      <c r="D29" s="13">
        <v>11322.156594894288</v>
      </c>
      <c r="E29" s="13">
        <v>13611.560442874863</v>
      </c>
      <c r="F29" s="13">
        <v>22124.937031293259</v>
      </c>
      <c r="G29" s="13">
        <v>22449.128516773373</v>
      </c>
      <c r="H29" s="13">
        <v>14349.500245827425</v>
      </c>
      <c r="I29" s="13">
        <v>18120.503189547046</v>
      </c>
      <c r="J29" s="13">
        <v>26145.79218432153</v>
      </c>
      <c r="K29" s="13">
        <v>21495.429644678195</v>
      </c>
      <c r="L29" s="13">
        <v>10154.536915369652</v>
      </c>
      <c r="M29" s="13">
        <v>19422.490496219456</v>
      </c>
      <c r="N29" s="13">
        <v>33221.44332677903</v>
      </c>
      <c r="O29" s="13">
        <v>18372.147758926352</v>
      </c>
      <c r="P29" s="13">
        <v>8701.3069467018067</v>
      </c>
      <c r="Q29" s="13">
        <v>21057.35001651946</v>
      </c>
      <c r="R29" s="13">
        <v>19237.099200500787</v>
      </c>
      <c r="S29" s="13">
        <v>21108.722370689415</v>
      </c>
      <c r="T29" s="13">
        <v>146.98880770627875</v>
      </c>
      <c r="U29" s="13">
        <v>11906.98529146225</v>
      </c>
      <c r="V29" s="13">
        <v>21041.553690360393</v>
      </c>
      <c r="W29" s="13">
        <v>4354.5145375466382</v>
      </c>
      <c r="X29" s="13">
        <v>7555.1664970456623</v>
      </c>
      <c r="Y29" s="13">
        <v>3847.6098245045578</v>
      </c>
      <c r="Z29" s="13">
        <v>16662.395325489138</v>
      </c>
      <c r="AA29" s="13"/>
      <c r="AB29" s="13"/>
      <c r="AC29" s="13"/>
      <c r="AE29" s="13">
        <f t="shared" ref="AE29:AK29" si="36">SUMIFS($B29:$AC29,$B$3:$AC$3,AE$3)</f>
        <v>59177.257818607512</v>
      </c>
      <c r="AF29" s="13">
        <f t="shared" si="36"/>
        <v>77044.068983441102</v>
      </c>
      <c r="AG29" s="13">
        <f t="shared" si="36"/>
        <v>77218.249240588833</v>
      </c>
      <c r="AH29" s="13">
        <f t="shared" si="36"/>
        <v>81352.248048926645</v>
      </c>
      <c r="AI29" s="13">
        <f t="shared" si="36"/>
        <v>52399.795670358726</v>
      </c>
      <c r="AJ29" s="13">
        <f t="shared" si="36"/>
        <v>36798.844549457252</v>
      </c>
      <c r="AK29" s="13">
        <f t="shared" si="36"/>
        <v>16662.395325489138</v>
      </c>
    </row>
    <row r="30" spans="1:37" s="25" customFormat="1" ht="11.25">
      <c r="A30" s="14" t="s">
        <v>153</v>
      </c>
      <c r="B30" s="20">
        <f>+IFERROR(B29/B10,0)</f>
        <v>0.14296856076442804</v>
      </c>
      <c r="C30" s="20">
        <f t="shared" ref="C30:AC30" si="37">+IFERROR(C29/C10,0)</f>
        <v>0.12791516288300958</v>
      </c>
      <c r="D30" s="20">
        <f t="shared" si="37"/>
        <v>0.10324111490878726</v>
      </c>
      <c r="E30" s="20">
        <f t="shared" si="37"/>
        <v>0.10034505715459806</v>
      </c>
      <c r="F30" s="20">
        <f t="shared" si="37"/>
        <v>0.15316702892529954</v>
      </c>
      <c r="G30" s="20">
        <f t="shared" si="37"/>
        <v>0.14884204264778053</v>
      </c>
      <c r="H30" s="20">
        <f t="shared" si="37"/>
        <v>0.1032762015366466</v>
      </c>
      <c r="I30" s="20">
        <f t="shared" si="37"/>
        <v>0.114153239655424</v>
      </c>
      <c r="J30" s="20">
        <f t="shared" si="37"/>
        <v>0.14854222526162625</v>
      </c>
      <c r="K30" s="20">
        <f t="shared" si="37"/>
        <v>0.11713673494756507</v>
      </c>
      <c r="L30" s="20">
        <f t="shared" si="37"/>
        <v>5.943100534307804E-2</v>
      </c>
      <c r="M30" s="20">
        <f t="shared" si="37"/>
        <v>9.4534450453061566E-2</v>
      </c>
      <c r="N30" s="20">
        <f t="shared" si="37"/>
        <v>0.14424831926267434</v>
      </c>
      <c r="O30" s="20">
        <f t="shared" si="37"/>
        <v>8.1568391736905069E-2</v>
      </c>
      <c r="P30" s="20">
        <f t="shared" si="37"/>
        <v>4.4866390320545665E-2</v>
      </c>
      <c r="Q30" s="20">
        <f t="shared" si="37"/>
        <v>9.4810510069285675E-2</v>
      </c>
      <c r="R30" s="20">
        <f t="shared" si="37"/>
        <v>8.4191731132974373E-2</v>
      </c>
      <c r="S30" s="20">
        <f t="shared" si="37"/>
        <v>9.4182084394904941E-2</v>
      </c>
      <c r="T30" s="20">
        <f t="shared" si="37"/>
        <v>7.977897004089468E-4</v>
      </c>
      <c r="U30" s="20">
        <f t="shared" si="37"/>
        <v>5.6186443956278066E-2</v>
      </c>
      <c r="V30" s="20">
        <f t="shared" si="37"/>
        <v>9.0840920097832831E-2</v>
      </c>
      <c r="W30" s="20">
        <f t="shared" si="37"/>
        <v>2.1456406241853895E-2</v>
      </c>
      <c r="X30" s="20">
        <f t="shared" si="37"/>
        <v>3.849418309138742E-2</v>
      </c>
      <c r="Y30" s="20">
        <f t="shared" si="37"/>
        <v>1.8026764932883896E-2</v>
      </c>
      <c r="Z30" s="20">
        <f t="shared" si="37"/>
        <v>7.4763632207637973E-2</v>
      </c>
      <c r="AA30" s="20"/>
      <c r="AB30" s="20"/>
      <c r="AC30" s="20"/>
      <c r="AE30" s="20">
        <f t="shared" ref="AE30" si="38">+IFERROR(AE29/AE10,0)</f>
        <v>0.11891718285597079</v>
      </c>
      <c r="AF30" s="20">
        <f t="shared" ref="AF30" si="39">+IFERROR(AF29/AF10,0)</f>
        <v>0.12993212467008686</v>
      </c>
      <c r="AG30" s="20">
        <f t="shared" ref="AG30" si="40">+IFERROR(AG29/AG10,0)</f>
        <v>0.1049389456147682</v>
      </c>
      <c r="AH30" s="20">
        <f t="shared" ref="AH30" si="41">+IFERROR(AH29/AH10,0)</f>
        <v>9.3338717031548182E-2</v>
      </c>
      <c r="AI30" s="20">
        <f t="shared" ref="AI30" si="42">+IFERROR(AI29/AI10,0)</f>
        <v>6.1735243880690266E-2</v>
      </c>
      <c r="AJ30" s="20">
        <f t="shared" ref="AJ30" si="43">+IFERROR(AJ29/AJ10,0)</f>
        <v>4.3585843884834254E-2</v>
      </c>
      <c r="AK30" s="20">
        <f t="shared" ref="AK30" si="44">+IFERROR(AK29/AK10,0)</f>
        <v>7.4763632207637973E-2</v>
      </c>
    </row>
    <row r="31" spans="1:37">
      <c r="A31" s="12" t="s">
        <v>107</v>
      </c>
      <c r="B31" s="13">
        <v>18691.379146718842</v>
      </c>
      <c r="C31" s="13">
        <v>15552.161634119519</v>
      </c>
      <c r="D31" s="13">
        <v>11322.156594894288</v>
      </c>
      <c r="E31" s="13">
        <v>13611.560442874863</v>
      </c>
      <c r="F31" s="13">
        <v>22124.937031293259</v>
      </c>
      <c r="G31" s="13">
        <v>22449.128516773373</v>
      </c>
      <c r="H31" s="13">
        <v>14349.500245827425</v>
      </c>
      <c r="I31" s="13">
        <v>18120.503189547046</v>
      </c>
      <c r="J31" s="13">
        <v>26145.79218432153</v>
      </c>
      <c r="K31" s="13">
        <v>21495.429644678195</v>
      </c>
      <c r="L31" s="13">
        <v>10154.536915369652</v>
      </c>
      <c r="M31" s="13">
        <v>19422.490496219456</v>
      </c>
      <c r="N31" s="13">
        <v>33221.44332677903</v>
      </c>
      <c r="O31" s="13">
        <v>18372.147758926352</v>
      </c>
      <c r="P31" s="13">
        <v>8701.3069467018067</v>
      </c>
      <c r="Q31" s="13">
        <v>18058.01001651946</v>
      </c>
      <c r="R31" s="13">
        <v>19237.099200500787</v>
      </c>
      <c r="S31" s="13">
        <v>21108.722370689415</v>
      </c>
      <c r="T31" s="13">
        <v>146.98880770627875</v>
      </c>
      <c r="U31" s="13">
        <v>7515.5678592205795</v>
      </c>
      <c r="V31" s="13">
        <v>21041.553690360393</v>
      </c>
      <c r="W31" s="13">
        <v>4354.5145375466382</v>
      </c>
      <c r="X31" s="13">
        <v>7555.1664970456623</v>
      </c>
      <c r="Y31" s="13">
        <v>3847.6098245045578</v>
      </c>
      <c r="Z31" s="13">
        <v>16662.395325489138</v>
      </c>
      <c r="AA31" s="13"/>
      <c r="AB31" s="13"/>
      <c r="AC31" s="13"/>
      <c r="AE31" s="13">
        <f t="shared" ref="AE31:AK31" si="45">SUMIFS($B31:$AC31,$B$3:$AC$3,AE$3)</f>
        <v>59177.257818607512</v>
      </c>
      <c r="AF31" s="13">
        <f t="shared" si="45"/>
        <v>77044.068983441102</v>
      </c>
      <c r="AG31" s="13">
        <f t="shared" si="45"/>
        <v>77218.249240588833</v>
      </c>
      <c r="AH31" s="13">
        <f t="shared" si="45"/>
        <v>78352.908048926649</v>
      </c>
      <c r="AI31" s="13">
        <f t="shared" si="45"/>
        <v>48008.37823811706</v>
      </c>
      <c r="AJ31" s="13">
        <f t="shared" si="45"/>
        <v>36798.844549457252</v>
      </c>
      <c r="AK31" s="13">
        <f t="shared" si="45"/>
        <v>16662.395325489138</v>
      </c>
    </row>
    <row r="32" spans="1:37" ht="13.5" customHeight="1">
      <c r="A32" s="14" t="s">
        <v>17</v>
      </c>
      <c r="B32" s="20">
        <f>+IFERROR(B31/B10,0)</f>
        <v>0.14296856076442804</v>
      </c>
      <c r="C32" s="20">
        <f t="shared" ref="C32:AC32" si="46">+IFERROR(C31/C10,0)</f>
        <v>0.12791516288300958</v>
      </c>
      <c r="D32" s="20">
        <f t="shared" si="46"/>
        <v>0.10324111490878726</v>
      </c>
      <c r="E32" s="20">
        <f t="shared" si="46"/>
        <v>0.10034505715459806</v>
      </c>
      <c r="F32" s="20">
        <f t="shared" si="46"/>
        <v>0.15316702892529954</v>
      </c>
      <c r="G32" s="20">
        <f t="shared" si="46"/>
        <v>0.14884204264778053</v>
      </c>
      <c r="H32" s="20">
        <f t="shared" si="46"/>
        <v>0.1032762015366466</v>
      </c>
      <c r="I32" s="20">
        <f t="shared" si="46"/>
        <v>0.114153239655424</v>
      </c>
      <c r="J32" s="20">
        <f t="shared" si="46"/>
        <v>0.14854222526162625</v>
      </c>
      <c r="K32" s="20">
        <f t="shared" si="46"/>
        <v>0.11713673494756507</v>
      </c>
      <c r="L32" s="20">
        <f t="shared" si="46"/>
        <v>5.943100534307804E-2</v>
      </c>
      <c r="M32" s="20">
        <f t="shared" si="46"/>
        <v>9.4534450453061566E-2</v>
      </c>
      <c r="N32" s="20">
        <f t="shared" si="46"/>
        <v>0.14424831926267434</v>
      </c>
      <c r="O32" s="20">
        <f t="shared" si="46"/>
        <v>8.1568391736905069E-2</v>
      </c>
      <c r="P32" s="20">
        <f t="shared" si="46"/>
        <v>4.4866390320545665E-2</v>
      </c>
      <c r="Q32" s="20">
        <f t="shared" si="46"/>
        <v>8.1306011400263972E-2</v>
      </c>
      <c r="R32" s="20">
        <f t="shared" si="46"/>
        <v>8.4191731132974373E-2</v>
      </c>
      <c r="S32" s="20">
        <f t="shared" si="46"/>
        <v>9.4182084394904941E-2</v>
      </c>
      <c r="T32" s="20">
        <f t="shared" si="46"/>
        <v>7.977897004089468E-4</v>
      </c>
      <c r="U32" s="20">
        <f t="shared" si="46"/>
        <v>3.5464311241275089E-2</v>
      </c>
      <c r="V32" s="20">
        <f t="shared" si="46"/>
        <v>9.0840920097832831E-2</v>
      </c>
      <c r="W32" s="20">
        <f t="shared" si="46"/>
        <v>2.1456406241853895E-2</v>
      </c>
      <c r="X32" s="20">
        <f t="shared" si="46"/>
        <v>3.849418309138742E-2</v>
      </c>
      <c r="Y32" s="20">
        <f t="shared" si="46"/>
        <v>1.8026764932883896E-2</v>
      </c>
      <c r="Z32" s="20">
        <f t="shared" si="46"/>
        <v>7.4763632207637973E-2</v>
      </c>
      <c r="AA32" s="20"/>
      <c r="AB32" s="20"/>
      <c r="AC32" s="20"/>
      <c r="AE32" s="20">
        <f t="shared" ref="AE32" si="47">+IFERROR(AE31/AE10,0)</f>
        <v>0.11891718285597079</v>
      </c>
      <c r="AF32" s="20">
        <f t="shared" ref="AF32" si="48">+IFERROR(AF31/AF10,0)</f>
        <v>0.12993212467008686</v>
      </c>
      <c r="AG32" s="20">
        <f t="shared" ref="AG32" si="49">+IFERROR(AG31/AG10,0)</f>
        <v>0.1049389456147682</v>
      </c>
      <c r="AH32" s="20">
        <f t="shared" ref="AH32" si="50">+IFERROR(AH31/AH10,0)</f>
        <v>8.9897453215789416E-2</v>
      </c>
      <c r="AI32" s="20">
        <f t="shared" ref="AI32" si="51">+IFERROR(AI31/AI10,0)</f>
        <v>5.6561459847888941E-2</v>
      </c>
      <c r="AJ32" s="20">
        <f t="shared" ref="AJ32" si="52">+IFERROR(AJ31/AJ10,0)</f>
        <v>4.3585843884834254E-2</v>
      </c>
      <c r="AK32" s="20">
        <f t="shared" ref="AK32" si="53">+IFERROR(AK31/AK10,0)</f>
        <v>7.4763632207637973E-2</v>
      </c>
    </row>
    <row r="33" spans="1:37" s="26" customFormat="1" ht="9.7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E33" s="13"/>
      <c r="AF33" s="13"/>
      <c r="AG33" s="13"/>
      <c r="AH33" s="13"/>
      <c r="AI33" s="13"/>
      <c r="AJ33" s="13"/>
      <c r="AK33" s="13"/>
    </row>
    <row r="34" spans="1:37" ht="13.5" customHeight="1">
      <c r="A34" s="12" t="s">
        <v>201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E34" s="20"/>
      <c r="AF34" s="20"/>
      <c r="AG34" s="20"/>
      <c r="AH34" s="20"/>
      <c r="AI34" s="20"/>
      <c r="AJ34" s="20"/>
      <c r="AK34" s="20"/>
    </row>
    <row r="35" spans="1:37">
      <c r="A35" s="14" t="s">
        <v>35</v>
      </c>
      <c r="B35" s="19">
        <v>2659.2433257730636</v>
      </c>
      <c r="C35" s="19">
        <v>1140.7348573752088</v>
      </c>
      <c r="D35" s="19">
        <v>732.42676169224251</v>
      </c>
      <c r="E35" s="19">
        <v>1916.0526596061263</v>
      </c>
      <c r="F35" s="19">
        <v>210.96</v>
      </c>
      <c r="G35" s="19">
        <v>871.57</v>
      </c>
      <c r="H35" s="19">
        <v>946.03</v>
      </c>
      <c r="I35" s="19">
        <v>395.80533111064983</v>
      </c>
      <c r="J35" s="19">
        <v>479.57222025601322</v>
      </c>
      <c r="K35" s="19">
        <v>837.02027498148391</v>
      </c>
      <c r="L35" s="19">
        <v>217.16979670459693</v>
      </c>
      <c r="M35" s="19">
        <v>482.62624212455296</v>
      </c>
      <c r="N35" s="19">
        <v>26.376000000000005</v>
      </c>
      <c r="O35" s="19">
        <v>476.73</v>
      </c>
      <c r="P35" s="19">
        <v>24.893045745424502</v>
      </c>
      <c r="Q35" s="19">
        <v>350.90451398219261</v>
      </c>
      <c r="R35" s="19">
        <v>286.58142056306303</v>
      </c>
      <c r="S35" s="19">
        <v>521.41962225149007</v>
      </c>
      <c r="T35" s="19">
        <v>113.76646333197766</v>
      </c>
      <c r="U35" s="19">
        <v>182.10402324741005</v>
      </c>
      <c r="V35" s="19">
        <v>79.701379383387646</v>
      </c>
      <c r="W35" s="19">
        <v>441.2120304202644</v>
      </c>
      <c r="X35" s="19">
        <v>35.94078659088234</v>
      </c>
      <c r="Y35" s="19">
        <v>163.53149179458734</v>
      </c>
      <c r="Z35" s="19">
        <v>319.30949007076924</v>
      </c>
      <c r="AA35" s="19"/>
      <c r="AB35" s="19"/>
      <c r="AC35" s="19"/>
      <c r="AE35" s="15">
        <f t="shared" ref="AE35:AK39" si="54">SUMIFS($B35:$AC35,$B$3:$AC$3,AE$3)</f>
        <v>6448.4576044466412</v>
      </c>
      <c r="AF35" s="15">
        <f t="shared" si="54"/>
        <v>2424.36533111065</v>
      </c>
      <c r="AG35" s="15">
        <f t="shared" si="54"/>
        <v>2016.388534066647</v>
      </c>
      <c r="AH35" s="15">
        <f t="shared" si="54"/>
        <v>878.90355972761711</v>
      </c>
      <c r="AI35" s="15">
        <f t="shared" si="54"/>
        <v>1103.8715293939408</v>
      </c>
      <c r="AJ35" s="15">
        <f t="shared" si="54"/>
        <v>720.38568818912177</v>
      </c>
      <c r="AK35" s="15">
        <f t="shared" si="54"/>
        <v>319.30949007076924</v>
      </c>
    </row>
    <row r="36" spans="1:37">
      <c r="A36" s="14" t="s">
        <v>185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112.624</v>
      </c>
      <c r="O36" s="19">
        <v>185.27</v>
      </c>
      <c r="P36" s="19">
        <v>384.08100000000002</v>
      </c>
      <c r="Q36" s="19">
        <v>704.66399999999999</v>
      </c>
      <c r="R36" s="19">
        <v>337.25</v>
      </c>
      <c r="S36" s="19">
        <v>179.37599999999998</v>
      </c>
      <c r="T36" s="19">
        <v>152.32299999999998</v>
      </c>
      <c r="U36" s="19">
        <v>747.21548072291682</v>
      </c>
      <c r="V36" s="19">
        <v>166.38088315256138</v>
      </c>
      <c r="W36" s="19">
        <v>155.42786907456318</v>
      </c>
      <c r="X36" s="19">
        <v>92.887146445725477</v>
      </c>
      <c r="Y36" s="19">
        <v>212.50192184074336</v>
      </c>
      <c r="Z36" s="19">
        <v>178.35891832531743</v>
      </c>
      <c r="AA36" s="19"/>
      <c r="AB36" s="19"/>
      <c r="AC36" s="19"/>
      <c r="AE36" s="15">
        <f t="shared" si="54"/>
        <v>0</v>
      </c>
      <c r="AF36" s="15">
        <f t="shared" si="54"/>
        <v>0</v>
      </c>
      <c r="AG36" s="15">
        <f t="shared" si="54"/>
        <v>0</v>
      </c>
      <c r="AH36" s="15">
        <f t="shared" si="54"/>
        <v>1386.6390000000001</v>
      </c>
      <c r="AI36" s="15">
        <f t="shared" si="54"/>
        <v>1416.1644807229168</v>
      </c>
      <c r="AJ36" s="15">
        <f t="shared" si="54"/>
        <v>627.19782051359334</v>
      </c>
      <c r="AK36" s="15">
        <f t="shared" si="54"/>
        <v>178.35891832531743</v>
      </c>
    </row>
    <row r="37" spans="1:37">
      <c r="A37" s="14" t="s">
        <v>36</v>
      </c>
      <c r="B37" s="19">
        <v>303.09958386553035</v>
      </c>
      <c r="C37" s="19">
        <v>2668.7023317779381</v>
      </c>
      <c r="D37" s="19">
        <v>1748.4427746096426</v>
      </c>
      <c r="E37" s="19">
        <v>2516.2499763993874</v>
      </c>
      <c r="F37" s="19">
        <v>422.96</v>
      </c>
      <c r="G37" s="19">
        <v>1185.4100000000001</v>
      </c>
      <c r="H37" s="19">
        <v>993.44</v>
      </c>
      <c r="I37" s="19">
        <v>1000.2790577032713</v>
      </c>
      <c r="J37" s="19">
        <v>743.106930602538</v>
      </c>
      <c r="K37" s="19">
        <v>713.05783678007094</v>
      </c>
      <c r="L37" s="19">
        <v>222.9579029696115</v>
      </c>
      <c r="M37" s="19">
        <v>-425.45515188314494</v>
      </c>
      <c r="N37" s="19">
        <v>-140.04607796709752</v>
      </c>
      <c r="O37" s="19">
        <v>582.05189606613544</v>
      </c>
      <c r="P37" s="19">
        <v>262.32973064484054</v>
      </c>
      <c r="Q37" s="19">
        <v>326.20291397721485</v>
      </c>
      <c r="R37" s="19">
        <v>97.851468480538529</v>
      </c>
      <c r="S37" s="19">
        <v>419.3152427474929</v>
      </c>
      <c r="T37" s="19">
        <v>-182.27148128222314</v>
      </c>
      <c r="U37" s="19">
        <v>-66.054275412283459</v>
      </c>
      <c r="V37" s="19">
        <v>367.15022977144002</v>
      </c>
      <c r="W37" s="19">
        <v>-391.1361651407542</v>
      </c>
      <c r="X37" s="19">
        <v>333.5358863222408</v>
      </c>
      <c r="Y37" s="19">
        <v>402.11364868856697</v>
      </c>
      <c r="Z37" s="19">
        <v>779.44100158107608</v>
      </c>
      <c r="AA37" s="19"/>
      <c r="AB37" s="19"/>
      <c r="AC37" s="19"/>
      <c r="AE37" s="15">
        <f t="shared" si="54"/>
        <v>7236.4946666524984</v>
      </c>
      <c r="AF37" s="15">
        <f t="shared" si="54"/>
        <v>3602.0890577032715</v>
      </c>
      <c r="AG37" s="15">
        <f t="shared" si="54"/>
        <v>1253.6675184690755</v>
      </c>
      <c r="AH37" s="15">
        <f t="shared" si="54"/>
        <v>1030.5384627210933</v>
      </c>
      <c r="AI37" s="15">
        <f t="shared" si="54"/>
        <v>268.84095453352484</v>
      </c>
      <c r="AJ37" s="15">
        <f t="shared" si="54"/>
        <v>711.66359964149365</v>
      </c>
      <c r="AK37" s="15">
        <f t="shared" si="54"/>
        <v>779.44100158107608</v>
      </c>
    </row>
    <row r="38" spans="1:37">
      <c r="A38" s="14" t="s">
        <v>186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315.04607796709752</v>
      </c>
      <c r="O38" s="19">
        <v>580.94810393386456</v>
      </c>
      <c r="P38" s="19">
        <v>905.30417149739719</v>
      </c>
      <c r="Q38" s="19">
        <v>1086.5078201844149</v>
      </c>
      <c r="R38" s="19">
        <v>1000.3397746020408</v>
      </c>
      <c r="S38" s="19">
        <v>1023.275979865537</v>
      </c>
      <c r="T38" s="19">
        <v>1017.4192455324221</v>
      </c>
      <c r="U38" s="19">
        <v>1133.870625051859</v>
      </c>
      <c r="V38" s="19">
        <v>1094.4814253547866</v>
      </c>
      <c r="W38" s="19">
        <v>1015.505187091936</v>
      </c>
      <c r="X38" s="19">
        <v>1008.7395346481162</v>
      </c>
      <c r="Y38" s="19">
        <v>998.82869803458834</v>
      </c>
      <c r="Z38" s="19">
        <v>797.2896300704507</v>
      </c>
      <c r="AA38" s="19"/>
      <c r="AB38" s="19"/>
      <c r="AC38" s="19"/>
      <c r="AE38" s="15">
        <f t="shared" si="54"/>
        <v>0</v>
      </c>
      <c r="AF38" s="15">
        <f t="shared" si="54"/>
        <v>0</v>
      </c>
      <c r="AG38" s="15">
        <f t="shared" si="54"/>
        <v>0</v>
      </c>
      <c r="AH38" s="15">
        <f t="shared" si="54"/>
        <v>2887.8061735827741</v>
      </c>
      <c r="AI38" s="15">
        <f t="shared" si="54"/>
        <v>4174.9056250518588</v>
      </c>
      <c r="AJ38" s="15">
        <f t="shared" si="54"/>
        <v>4117.5548451294271</v>
      </c>
      <c r="AK38" s="15">
        <f t="shared" si="54"/>
        <v>797.2896300704507</v>
      </c>
    </row>
    <row r="39" spans="1:37">
      <c r="A39" s="14" t="s">
        <v>151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-159</v>
      </c>
      <c r="K39" s="19">
        <v>-157.14499999999998</v>
      </c>
      <c r="L39" s="19">
        <v>-766.16200000000003</v>
      </c>
      <c r="M39" s="19">
        <v>857.64</v>
      </c>
      <c r="N39" s="19">
        <v>1453</v>
      </c>
      <c r="O39" s="19">
        <v>-1283</v>
      </c>
      <c r="P39" s="19">
        <v>310.67817590677851</v>
      </c>
      <c r="Q39" s="19">
        <v>807.36632054013853</v>
      </c>
      <c r="R39" s="19">
        <v>751.12184408899964</v>
      </c>
      <c r="S39" s="19">
        <v>-103.17171889999963</v>
      </c>
      <c r="T39" s="19">
        <v>527.84525745011354</v>
      </c>
      <c r="U39" s="19">
        <v>-339.56952103727758</v>
      </c>
      <c r="V39" s="19">
        <v>943.85913513254366</v>
      </c>
      <c r="W39" s="19">
        <v>1119.8087515472203</v>
      </c>
      <c r="X39" s="19">
        <v>715.62605231280259</v>
      </c>
      <c r="Y39" s="19">
        <v>198.6861003591489</v>
      </c>
      <c r="Z39" s="19">
        <v>-350.63480335740439</v>
      </c>
      <c r="AA39" s="19"/>
      <c r="AB39" s="19"/>
      <c r="AC39" s="19"/>
      <c r="AE39" s="15">
        <f t="shared" si="54"/>
        <v>0</v>
      </c>
      <c r="AF39" s="15">
        <f t="shared" si="54"/>
        <v>0</v>
      </c>
      <c r="AG39" s="15">
        <f t="shared" si="54"/>
        <v>-224.66700000000003</v>
      </c>
      <c r="AH39" s="15">
        <f t="shared" si="54"/>
        <v>1288.044496446917</v>
      </c>
      <c r="AI39" s="15">
        <f t="shared" si="54"/>
        <v>836.22586160183596</v>
      </c>
      <c r="AJ39" s="15">
        <f t="shared" si="54"/>
        <v>2977.9800393517153</v>
      </c>
      <c r="AK39" s="15">
        <f t="shared" si="54"/>
        <v>-350.63480335740439</v>
      </c>
    </row>
    <row r="40" spans="1:37">
      <c r="A40" s="12" t="s">
        <v>37</v>
      </c>
      <c r="B40" s="13">
        <f t="shared" ref="B40:T40" si="55">+B35+B36-B37-B39-B38</f>
        <v>2356.1437419075332</v>
      </c>
      <c r="C40" s="13">
        <f t="shared" si="55"/>
        <v>-1527.9674744027293</v>
      </c>
      <c r="D40" s="13">
        <f t="shared" si="55"/>
        <v>-1016.0160129174001</v>
      </c>
      <c r="E40" s="13">
        <f t="shared" si="55"/>
        <v>-600.19731679326105</v>
      </c>
      <c r="F40" s="13">
        <f t="shared" si="55"/>
        <v>-211.99999999999997</v>
      </c>
      <c r="G40" s="13">
        <f t="shared" si="55"/>
        <v>-313.84000000000003</v>
      </c>
      <c r="H40" s="13">
        <f t="shared" si="55"/>
        <v>-47.410000000000082</v>
      </c>
      <c r="I40" s="13">
        <f t="shared" si="55"/>
        <v>-604.47372659262146</v>
      </c>
      <c r="J40" s="13">
        <f t="shared" si="55"/>
        <v>-104.53471034652478</v>
      </c>
      <c r="K40" s="13">
        <f t="shared" si="55"/>
        <v>281.10743820141295</v>
      </c>
      <c r="L40" s="13">
        <f t="shared" si="55"/>
        <v>760.37389373498547</v>
      </c>
      <c r="M40" s="13">
        <f t="shared" si="55"/>
        <v>50.441394007697909</v>
      </c>
      <c r="N40" s="13">
        <f t="shared" si="55"/>
        <v>-1489</v>
      </c>
      <c r="O40" s="13">
        <f t="shared" si="55"/>
        <v>782</v>
      </c>
      <c r="P40" s="13">
        <f t="shared" si="55"/>
        <v>-1069.3380323035917</v>
      </c>
      <c r="Q40" s="13">
        <f t="shared" si="55"/>
        <v>-1164.5085407195756</v>
      </c>
      <c r="R40" s="13">
        <f t="shared" si="55"/>
        <v>-1225.481666608516</v>
      </c>
      <c r="S40" s="13">
        <f t="shared" si="55"/>
        <v>-638.62388146154024</v>
      </c>
      <c r="T40" s="13">
        <f t="shared" si="55"/>
        <v>-1096.9035583683349</v>
      </c>
      <c r="U40" s="13">
        <f t="shared" ref="U40:Z40" si="56">+U35+U36-U37-U39-U38</f>
        <v>201.07267536802897</v>
      </c>
      <c r="V40" s="13">
        <f t="shared" si="56"/>
        <v>-2159.4085277228214</v>
      </c>
      <c r="W40" s="13">
        <f t="shared" si="56"/>
        <v>-1147.5378740035744</v>
      </c>
      <c r="X40" s="13">
        <f t="shared" si="56"/>
        <v>-1929.0735402465518</v>
      </c>
      <c r="Y40" s="13">
        <f t="shared" si="56"/>
        <v>-1223.5950334469735</v>
      </c>
      <c r="Z40" s="13">
        <f t="shared" si="56"/>
        <v>-728.42741989803574</v>
      </c>
      <c r="AA40" s="13"/>
      <c r="AB40" s="13"/>
      <c r="AC40" s="13"/>
      <c r="AE40" s="13">
        <f t="shared" ref="AE40:AK40" si="57">+AE35+AE36-AE37-AE39-AE38</f>
        <v>-788.03706220585718</v>
      </c>
      <c r="AF40" s="13">
        <f t="shared" si="57"/>
        <v>-1177.7237265926215</v>
      </c>
      <c r="AG40" s="13">
        <f t="shared" si="57"/>
        <v>987.38801559757155</v>
      </c>
      <c r="AH40" s="13">
        <f t="shared" si="57"/>
        <v>-2940.8465730231674</v>
      </c>
      <c r="AI40" s="13">
        <f t="shared" si="57"/>
        <v>-2759.9364310703622</v>
      </c>
      <c r="AJ40" s="13">
        <f t="shared" si="57"/>
        <v>-6459.6149754199214</v>
      </c>
      <c r="AK40" s="13">
        <f t="shared" si="57"/>
        <v>-728.42741989803574</v>
      </c>
    </row>
    <row r="41" spans="1:37" s="26" customFormat="1" ht="9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E41" s="13"/>
      <c r="AF41" s="13"/>
      <c r="AG41" s="13"/>
      <c r="AH41" s="13"/>
      <c r="AI41" s="13"/>
      <c r="AJ41" s="13"/>
      <c r="AK41" s="13"/>
    </row>
    <row r="42" spans="1:37">
      <c r="A42" s="12" t="s">
        <v>38</v>
      </c>
      <c r="B42" s="13">
        <f>+B31+B40</f>
        <v>21047.522888626376</v>
      </c>
      <c r="C42" s="13">
        <f t="shared" ref="C42:U42" si="58">+C31+C40</f>
        <v>14024.19415971679</v>
      </c>
      <c r="D42" s="13">
        <f t="shared" si="58"/>
        <v>10306.140581976888</v>
      </c>
      <c r="E42" s="13">
        <f t="shared" si="58"/>
        <v>13011.363126081602</v>
      </c>
      <c r="F42" s="13">
        <f t="shared" si="58"/>
        <v>21912.937031293259</v>
      </c>
      <c r="G42" s="13">
        <f t="shared" si="58"/>
        <v>22135.288516773373</v>
      </c>
      <c r="H42" s="13">
        <f t="shared" si="58"/>
        <v>14302.090245827425</v>
      </c>
      <c r="I42" s="13">
        <f t="shared" si="58"/>
        <v>17516.029462954422</v>
      </c>
      <c r="J42" s="13">
        <f t="shared" si="58"/>
        <v>26041.257473975005</v>
      </c>
      <c r="K42" s="13">
        <f t="shared" si="58"/>
        <v>21776.537082879608</v>
      </c>
      <c r="L42" s="13">
        <f t="shared" si="58"/>
        <v>10914.910809104638</v>
      </c>
      <c r="M42" s="13">
        <f t="shared" si="58"/>
        <v>19472.931890227155</v>
      </c>
      <c r="N42" s="13">
        <f t="shared" si="58"/>
        <v>31732.44332677903</v>
      </c>
      <c r="O42" s="13">
        <f t="shared" si="58"/>
        <v>19154.147758926352</v>
      </c>
      <c r="P42" s="13">
        <f t="shared" si="58"/>
        <v>7631.968914398215</v>
      </c>
      <c r="Q42" s="13">
        <f t="shared" si="58"/>
        <v>16893.501475799883</v>
      </c>
      <c r="R42" s="13">
        <f t="shared" si="58"/>
        <v>18011.617533892269</v>
      </c>
      <c r="S42" s="13">
        <f t="shared" si="58"/>
        <v>20470.098489227876</v>
      </c>
      <c r="T42" s="13">
        <f t="shared" si="58"/>
        <v>-949.91475066205612</v>
      </c>
      <c r="U42" s="13">
        <f t="shared" si="58"/>
        <v>7716.6405345886087</v>
      </c>
      <c r="V42" s="13">
        <f t="shared" ref="V42:W42" si="59">+V31+V40</f>
        <v>18882.145162637571</v>
      </c>
      <c r="W42" s="13">
        <f t="shared" si="59"/>
        <v>3206.9766635430638</v>
      </c>
      <c r="X42" s="13">
        <f t="shared" ref="X42:Y42" si="60">+X31+X40</f>
        <v>5626.0929567991107</v>
      </c>
      <c r="Y42" s="13">
        <f t="shared" si="60"/>
        <v>2624.0147910575843</v>
      </c>
      <c r="Z42" s="13">
        <f t="shared" ref="Z42:AB42" si="61">+Z31+Z40</f>
        <v>15933.967905591102</v>
      </c>
      <c r="AA42" s="13"/>
      <c r="AB42" s="13"/>
      <c r="AC42" s="13"/>
      <c r="AE42" s="13">
        <f t="shared" ref="AC42:AE42" si="62">+AE31+AE40</f>
        <v>58389.220756401657</v>
      </c>
      <c r="AF42" s="13">
        <f t="shared" ref="AF42:AK42" si="63">+AF31+AF40</f>
        <v>75866.345256848479</v>
      </c>
      <c r="AG42" s="13">
        <f t="shared" si="63"/>
        <v>78205.637256186412</v>
      </c>
      <c r="AH42" s="13">
        <f t="shared" si="63"/>
        <v>75412.06147590348</v>
      </c>
      <c r="AI42" s="13">
        <f t="shared" si="63"/>
        <v>45248.4418070467</v>
      </c>
      <c r="AJ42" s="13">
        <f t="shared" si="63"/>
        <v>30339.22957403733</v>
      </c>
      <c r="AK42" s="13">
        <f t="shared" si="63"/>
        <v>15933.967905591102</v>
      </c>
    </row>
    <row r="43" spans="1:37" s="26" customFormat="1" ht="9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E43" s="13"/>
      <c r="AF43" s="13"/>
      <c r="AG43" s="13"/>
      <c r="AH43" s="13"/>
      <c r="AI43" s="13"/>
      <c r="AJ43" s="13"/>
      <c r="AK43" s="13"/>
    </row>
    <row r="44" spans="1:37">
      <c r="A44" s="14" t="s">
        <v>39</v>
      </c>
      <c r="B44" s="19">
        <v>4821.9365293999199</v>
      </c>
      <c r="C44" s="19">
        <v>4877.0704347455976</v>
      </c>
      <c r="D44" s="19">
        <v>5099.5929873937921</v>
      </c>
      <c r="E44" s="19">
        <v>5739.0651427034772</v>
      </c>
      <c r="F44" s="19">
        <v>4753.1740850848637</v>
      </c>
      <c r="G44" s="19">
        <v>4803.2724095115173</v>
      </c>
      <c r="H44" s="19">
        <v>3260.6661050389139</v>
      </c>
      <c r="I44" s="19">
        <v>4515.9650366948863</v>
      </c>
      <c r="J44" s="19">
        <v>6047.4804199057289</v>
      </c>
      <c r="K44" s="19">
        <v>5229.9304501491879</v>
      </c>
      <c r="L44" s="19">
        <v>2866.0511493166796</v>
      </c>
      <c r="M44" s="19">
        <v>2633.394812774498</v>
      </c>
      <c r="N44" s="19">
        <v>7255.1876238766999</v>
      </c>
      <c r="O44" s="19">
        <v>4370.8431307585888</v>
      </c>
      <c r="P44" s="19">
        <v>1788.6495632304013</v>
      </c>
      <c r="Q44" s="19">
        <v>5307.0860307434214</v>
      </c>
      <c r="R44" s="19">
        <v>4073.7764164607765</v>
      </c>
      <c r="S44" s="19">
        <v>4298.7413347226011</v>
      </c>
      <c r="T44" s="19">
        <v>-72.87957084646041</v>
      </c>
      <c r="U44" s="19">
        <v>1964.6994508226644</v>
      </c>
      <c r="V44" s="19">
        <v>4344.0482573263043</v>
      </c>
      <c r="W44" s="19">
        <v>1516.7791654524924</v>
      </c>
      <c r="X44" s="19">
        <v>2039.1418288552677</v>
      </c>
      <c r="Y44" s="19">
        <v>-533.84078138880398</v>
      </c>
      <c r="Z44" s="19">
        <v>3244.2952511843964</v>
      </c>
      <c r="AA44" s="19"/>
      <c r="AB44" s="19"/>
      <c r="AC44" s="19"/>
      <c r="AE44" s="15">
        <f t="shared" ref="AE44:AK44" si="64">SUMIFS($B44:$AC44,$B$3:$AC$3,AE$3)</f>
        <v>20537.665094242788</v>
      </c>
      <c r="AF44" s="15">
        <f t="shared" si="64"/>
        <v>17333.077636330181</v>
      </c>
      <c r="AG44" s="15">
        <f t="shared" si="64"/>
        <v>16776.856832146095</v>
      </c>
      <c r="AH44" s="15">
        <f t="shared" si="64"/>
        <v>18721.766348609111</v>
      </c>
      <c r="AI44" s="15">
        <f t="shared" si="64"/>
        <v>10264.337631159582</v>
      </c>
      <c r="AJ44" s="15">
        <f t="shared" si="64"/>
        <v>7366.1284702452604</v>
      </c>
      <c r="AK44" s="15">
        <f t="shared" si="64"/>
        <v>3244.2952511843964</v>
      </c>
    </row>
    <row r="45" spans="1:37" s="26" customFormat="1" ht="9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E45" s="13"/>
      <c r="AF45" s="13"/>
      <c r="AG45" s="13"/>
      <c r="AH45" s="13"/>
      <c r="AI45" s="13"/>
      <c r="AJ45" s="13"/>
      <c r="AK45" s="13"/>
    </row>
    <row r="46" spans="1:37">
      <c r="A46" s="12" t="s">
        <v>130</v>
      </c>
      <c r="B46" s="13">
        <f t="shared" ref="B46:M46" si="65">+B42-B44</f>
        <v>16225.586359226456</v>
      </c>
      <c r="C46" s="13">
        <f t="shared" si="65"/>
        <v>9147.1237249711921</v>
      </c>
      <c r="D46" s="13">
        <f t="shared" si="65"/>
        <v>5206.5475945830958</v>
      </c>
      <c r="E46" s="13">
        <f t="shared" si="65"/>
        <v>7272.2979833781246</v>
      </c>
      <c r="F46" s="13">
        <f t="shared" si="65"/>
        <v>17159.762946208393</v>
      </c>
      <c r="G46" s="13">
        <f t="shared" si="65"/>
        <v>17332.016107261858</v>
      </c>
      <c r="H46" s="13">
        <f t="shared" si="65"/>
        <v>11041.424140788511</v>
      </c>
      <c r="I46" s="13">
        <f t="shared" si="65"/>
        <v>13000.064426259536</v>
      </c>
      <c r="J46" s="13">
        <f t="shared" si="65"/>
        <v>19993.777054069276</v>
      </c>
      <c r="K46" s="13">
        <f t="shared" si="65"/>
        <v>16546.606632730422</v>
      </c>
      <c r="L46" s="13">
        <f t="shared" si="65"/>
        <v>8048.8596597879587</v>
      </c>
      <c r="M46" s="13">
        <f t="shared" si="65"/>
        <v>16839.537077452656</v>
      </c>
      <c r="N46" s="13">
        <f t="shared" ref="N46:O46" si="66">+N42-N44</f>
        <v>24477.25570290233</v>
      </c>
      <c r="O46" s="13">
        <f t="shared" si="66"/>
        <v>14783.304628167763</v>
      </c>
      <c r="P46" s="13">
        <f t="shared" ref="P46" si="67">+P42-P44</f>
        <v>5843.3193511678137</v>
      </c>
      <c r="Q46" s="13">
        <f t="shared" ref="Q46:V46" si="68">+Q42-Q44</f>
        <v>11586.415445056462</v>
      </c>
      <c r="R46" s="13">
        <f t="shared" si="68"/>
        <v>13937.841117431493</v>
      </c>
      <c r="S46" s="13">
        <f t="shared" si="68"/>
        <v>16171.357154505275</v>
      </c>
      <c r="T46" s="13">
        <f t="shared" si="68"/>
        <v>-877.03517981559571</v>
      </c>
      <c r="U46" s="13">
        <f t="shared" si="68"/>
        <v>5751.9410837659443</v>
      </c>
      <c r="V46" s="13">
        <f t="shared" si="68"/>
        <v>14538.096905311268</v>
      </c>
      <c r="W46" s="13">
        <f t="shared" ref="W46:X46" si="69">+W42-W44</f>
        <v>1690.1974980905713</v>
      </c>
      <c r="X46" s="13">
        <f t="shared" si="69"/>
        <v>3586.9511279438429</v>
      </c>
      <c r="Y46" s="13">
        <f t="shared" ref="Y46:Z46" si="70">+Y42-Y44</f>
        <v>3157.8555724463881</v>
      </c>
      <c r="Z46" s="13">
        <f t="shared" si="70"/>
        <v>12689.672654406706</v>
      </c>
      <c r="AA46" s="13"/>
      <c r="AB46" s="13"/>
      <c r="AC46" s="13"/>
      <c r="AE46" s="13">
        <f t="shared" ref="AC46:AK46" si="71">+AE42-AE44</f>
        <v>37851.555662158869</v>
      </c>
      <c r="AF46" s="13">
        <f t="shared" si="71"/>
        <v>58533.267620518294</v>
      </c>
      <c r="AG46" s="13">
        <f t="shared" si="71"/>
        <v>61428.78042404032</v>
      </c>
      <c r="AH46" s="13">
        <f t="shared" si="71"/>
        <v>56690.295127294368</v>
      </c>
      <c r="AI46" s="13">
        <f t="shared" si="71"/>
        <v>34984.104175887114</v>
      </c>
      <c r="AJ46" s="13">
        <f t="shared" si="71"/>
        <v>22973.101103792069</v>
      </c>
      <c r="AK46" s="13">
        <f t="shared" si="71"/>
        <v>12689.672654406706</v>
      </c>
    </row>
    <row r="47" spans="1:37">
      <c r="A47" s="12" t="s">
        <v>131</v>
      </c>
      <c r="B47" s="13">
        <v>402.99439497282765</v>
      </c>
      <c r="C47" s="13">
        <v>2130.980380230807</v>
      </c>
      <c r="D47" s="13">
        <v>5378.8860794569491</v>
      </c>
      <c r="E47" s="13">
        <v>2868.9557540787246</v>
      </c>
      <c r="F47" s="13">
        <v>-2911.1330197038251</v>
      </c>
      <c r="G47" s="13">
        <v>-4551.0461548412677</v>
      </c>
      <c r="H47" s="13">
        <v>-3429.5973987600505</v>
      </c>
      <c r="I47" s="13">
        <v>-3493.1083480628981</v>
      </c>
      <c r="J47" s="13">
        <v>-8652.0686191786936</v>
      </c>
      <c r="K47" s="13">
        <v>-1786.34274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/>
      <c r="AB47" s="13"/>
      <c r="AC47" s="13"/>
      <c r="AE47" s="13">
        <f t="shared" ref="AE47:AK47" si="72">SUMIFS($B47:$AC47,$B$3:$AC$3,AE$3)</f>
        <v>10781.816608739307</v>
      </c>
      <c r="AF47" s="13">
        <f t="shared" si="72"/>
        <v>-14384.884921368042</v>
      </c>
      <c r="AG47" s="13">
        <f t="shared" si="72"/>
        <v>-10438.411359178694</v>
      </c>
      <c r="AH47" s="13">
        <f t="shared" si="72"/>
        <v>0</v>
      </c>
      <c r="AI47" s="13">
        <f t="shared" si="72"/>
        <v>0</v>
      </c>
      <c r="AJ47" s="13">
        <f t="shared" si="72"/>
        <v>0</v>
      </c>
      <c r="AK47" s="13">
        <f t="shared" si="72"/>
        <v>0</v>
      </c>
    </row>
    <row r="48" spans="1:37">
      <c r="A48" s="12" t="s">
        <v>40</v>
      </c>
      <c r="B48" s="13">
        <f t="shared" ref="B48:AC48" si="73">B46+B47</f>
        <v>16628.580754199284</v>
      </c>
      <c r="C48" s="13">
        <f t="shared" si="73"/>
        <v>11278.104105201999</v>
      </c>
      <c r="D48" s="13">
        <f t="shared" si="73"/>
        <v>10585.433674040045</v>
      </c>
      <c r="E48" s="13">
        <f t="shared" si="73"/>
        <v>10141.253737456849</v>
      </c>
      <c r="F48" s="13">
        <f t="shared" si="73"/>
        <v>14248.629926504567</v>
      </c>
      <c r="G48" s="13">
        <f t="shared" si="73"/>
        <v>12780.96995242059</v>
      </c>
      <c r="H48" s="13">
        <f t="shared" si="73"/>
        <v>7611.826742028461</v>
      </c>
      <c r="I48" s="13">
        <f t="shared" si="73"/>
        <v>9506.9560781966375</v>
      </c>
      <c r="J48" s="13">
        <f t="shared" si="73"/>
        <v>11341.708434890583</v>
      </c>
      <c r="K48" s="13">
        <f t="shared" si="73"/>
        <v>14760.263892730422</v>
      </c>
      <c r="L48" s="13">
        <f t="shared" si="73"/>
        <v>8048.8596597879587</v>
      </c>
      <c r="M48" s="13">
        <f t="shared" si="73"/>
        <v>16839.537077452656</v>
      </c>
      <c r="N48" s="13">
        <f t="shared" si="73"/>
        <v>24477.25570290233</v>
      </c>
      <c r="O48" s="13">
        <f t="shared" si="73"/>
        <v>14783.304628167763</v>
      </c>
      <c r="P48" s="13">
        <f t="shared" si="73"/>
        <v>5843.3193511678137</v>
      </c>
      <c r="Q48" s="13">
        <f t="shared" si="73"/>
        <v>11586.415445056462</v>
      </c>
      <c r="R48" s="13">
        <f t="shared" si="73"/>
        <v>13937.841117431493</v>
      </c>
      <c r="S48" s="13">
        <f t="shared" si="73"/>
        <v>16171.357154505275</v>
      </c>
      <c r="T48" s="13">
        <f t="shared" si="73"/>
        <v>-877.03517981559571</v>
      </c>
      <c r="U48" s="13">
        <f t="shared" si="73"/>
        <v>5751.9410837659443</v>
      </c>
      <c r="V48" s="13">
        <f t="shared" si="73"/>
        <v>14538.096905311268</v>
      </c>
      <c r="W48" s="13">
        <f t="shared" si="73"/>
        <v>1690.1974980905713</v>
      </c>
      <c r="X48" s="13">
        <f t="shared" si="73"/>
        <v>3586.9511279438429</v>
      </c>
      <c r="Y48" s="13">
        <f t="shared" si="73"/>
        <v>3157.8555724463881</v>
      </c>
      <c r="Z48" s="13">
        <f t="shared" si="73"/>
        <v>12689.672654406706</v>
      </c>
      <c r="AA48" s="13"/>
      <c r="AB48" s="13"/>
      <c r="AC48" s="13"/>
      <c r="AE48" s="13">
        <f t="shared" ref="AE48:AK48" si="74">AE46+AE47</f>
        <v>48633.37227089818</v>
      </c>
      <c r="AF48" s="13">
        <f t="shared" si="74"/>
        <v>44148.38269915025</v>
      </c>
      <c r="AG48" s="13">
        <f t="shared" si="74"/>
        <v>50990.369064861625</v>
      </c>
      <c r="AH48" s="13">
        <f t="shared" si="74"/>
        <v>56690.295127294368</v>
      </c>
      <c r="AI48" s="13">
        <f t="shared" si="74"/>
        <v>34984.104175887114</v>
      </c>
      <c r="AJ48" s="13">
        <f t="shared" si="74"/>
        <v>22973.101103792069</v>
      </c>
      <c r="AK48" s="13">
        <f t="shared" si="74"/>
        <v>12689.672654406706</v>
      </c>
    </row>
    <row r="49" spans="1:37" s="26" customFormat="1" ht="9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E49" s="13"/>
      <c r="AF49" s="13"/>
      <c r="AG49" s="13"/>
      <c r="AH49" s="13"/>
      <c r="AI49" s="13"/>
      <c r="AJ49" s="13"/>
      <c r="AK49" s="13"/>
    </row>
    <row r="50" spans="1:37">
      <c r="A50" s="14" t="s">
        <v>132</v>
      </c>
      <c r="B50" s="21">
        <v>0.19937034863946426</v>
      </c>
      <c r="C50" s="21">
        <v>0.11303448938096847</v>
      </c>
      <c r="D50" s="21">
        <v>6.4512314894723297E-2</v>
      </c>
      <c r="E50" s="21">
        <v>8.9873007221604864E-2</v>
      </c>
      <c r="F50" s="21">
        <v>0.21206494875629844</v>
      </c>
      <c r="G50" s="21">
        <v>0.21468169631109707</v>
      </c>
      <c r="H50" s="21">
        <v>0.13707605839655887</v>
      </c>
      <c r="I50" s="21">
        <v>0.16139200593427441</v>
      </c>
      <c r="J50" s="21">
        <v>0.24830167847881593</v>
      </c>
      <c r="K50" s="21">
        <v>0.20469652351215009</v>
      </c>
      <c r="L50" s="21">
        <v>9.9154388400263777E-2</v>
      </c>
      <c r="M50" s="21">
        <v>0.20821678512127831</v>
      </c>
      <c r="N50" s="21">
        <v>0.30258010292996246</v>
      </c>
      <c r="O50" s="21">
        <v>0.18200011316654938</v>
      </c>
      <c r="P50" s="21">
        <v>7.1927899651696381E-2</v>
      </c>
      <c r="Q50" s="21">
        <v>0.143244735265459</v>
      </c>
      <c r="R50" s="21">
        <v>0.17307134746385677</v>
      </c>
      <c r="S50" s="21">
        <v>0.20017090405828075</v>
      </c>
      <c r="T50" s="21">
        <v>-1.082182864830819E-2</v>
      </c>
      <c r="U50" s="21">
        <v>7.0772262158818794E-2</v>
      </c>
      <c r="V50" s="21">
        <v>0.1781424713445631</v>
      </c>
      <c r="W50" s="21">
        <v>2.0684300351594114E-2</v>
      </c>
      <c r="X50" s="21">
        <v>0.19872588324090493</v>
      </c>
      <c r="Y50" s="21">
        <v>4.3896393504721652E-2</v>
      </c>
      <c r="Z50" s="21">
        <v>0.24259858901779768</v>
      </c>
      <c r="AA50" s="21"/>
      <c r="AB50" s="21"/>
      <c r="AC50" s="21"/>
      <c r="AE50" s="21"/>
      <c r="AF50" s="21"/>
      <c r="AG50" s="21"/>
      <c r="AH50" s="21"/>
      <c r="AI50" s="21"/>
      <c r="AJ50" s="21"/>
      <c r="AK50" s="21"/>
    </row>
    <row r="51" spans="1:37">
      <c r="A51" s="14" t="s">
        <v>133</v>
      </c>
      <c r="B51" s="21">
        <v>0.1975401220929133</v>
      </c>
      <c r="C51" s="21">
        <v>0.1123365406203741</v>
      </c>
      <c r="D51" s="21">
        <v>6.4177236680888816E-2</v>
      </c>
      <c r="E51" s="21">
        <v>8.9228148410025659E-2</v>
      </c>
      <c r="F51" s="21">
        <v>0.2104600201758112</v>
      </c>
      <c r="G51" s="21">
        <v>0.21362995490951331</v>
      </c>
      <c r="H51" s="21">
        <v>0.13656586051124184</v>
      </c>
      <c r="I51" s="21">
        <v>0.16059655338894799</v>
      </c>
      <c r="J51" s="21">
        <v>0.24746663429815524</v>
      </c>
      <c r="K51" s="21">
        <v>0.20439153884888295</v>
      </c>
      <c r="L51" s="21">
        <v>9.9038362649307085E-2</v>
      </c>
      <c r="M51" s="21">
        <v>0.20794792772350604</v>
      </c>
      <c r="N51" s="21">
        <v>0.30209277969668996</v>
      </c>
      <c r="O51" s="21">
        <v>0.18133978905133807</v>
      </c>
      <c r="P51" s="21">
        <v>7.1576613567597688E-2</v>
      </c>
      <c r="Q51" s="21">
        <v>0.14291439144617238</v>
      </c>
      <c r="R51" s="21">
        <v>0.1730168536546659</v>
      </c>
      <c r="S51" s="21">
        <v>0.20012531942304443</v>
      </c>
      <c r="T51" s="21">
        <v>-1.082182864830819E-2</v>
      </c>
      <c r="U51" s="21">
        <v>7.0772262158818794E-2</v>
      </c>
      <c r="V51" s="21">
        <v>0.17808640850681412</v>
      </c>
      <c r="W51" s="21">
        <v>2.0667357103349895E-2</v>
      </c>
      <c r="X51" s="21">
        <v>0.19861317644845222</v>
      </c>
      <c r="Y51" s="21">
        <v>4.3867934543038119E-2</v>
      </c>
      <c r="Z51" s="21">
        <v>0.24245443254647298</v>
      </c>
      <c r="AA51" s="21"/>
      <c r="AB51" s="21"/>
      <c r="AC51" s="21"/>
      <c r="AE51" s="21"/>
      <c r="AF51" s="21"/>
      <c r="AG51" s="21"/>
      <c r="AH51" s="21"/>
      <c r="AI51" s="21"/>
      <c r="AJ51" s="21"/>
      <c r="AK51" s="21"/>
    </row>
    <row r="52" spans="1:37" s="26" customFormat="1" ht="9.7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E52" s="13"/>
      <c r="AF52" s="13"/>
      <c r="AG52" s="13"/>
      <c r="AH52" s="13"/>
      <c r="AI52" s="13"/>
      <c r="AJ52" s="13"/>
      <c r="AK52" s="13"/>
    </row>
    <row r="53" spans="1:37">
      <c r="A53" s="14" t="s">
        <v>41</v>
      </c>
      <c r="B53" s="19">
        <v>3692.5036618463701</v>
      </c>
      <c r="C53" s="19">
        <v>-834.69750979098626</v>
      </c>
      <c r="D53" s="19">
        <v>-586.38883113704424</v>
      </c>
      <c r="E53" s="19">
        <v>-2192.4173209183396</v>
      </c>
      <c r="F53" s="19">
        <v>88</v>
      </c>
      <c r="G53" s="19">
        <v>40</v>
      </c>
      <c r="H53" s="19">
        <v>-331</v>
      </c>
      <c r="I53" s="19">
        <v>477</v>
      </c>
      <c r="J53" s="19">
        <v>-496.55056198464706</v>
      </c>
      <c r="K53" s="19">
        <v>1900.0954720644136</v>
      </c>
      <c r="L53" s="19">
        <v>-528.64364969293524</v>
      </c>
      <c r="M53" s="19">
        <v>-435.18124805706896</v>
      </c>
      <c r="N53" s="19">
        <v>1794.9541620512782</v>
      </c>
      <c r="O53" s="19">
        <v>877.14123345369399</v>
      </c>
      <c r="P53" s="19">
        <v>-1602.1297679464772</v>
      </c>
      <c r="Q53" s="19">
        <v>-1415.7641604742712</v>
      </c>
      <c r="R53" s="19">
        <v>1058.7006689392563</v>
      </c>
      <c r="S53" s="19">
        <v>-834.15747801847806</v>
      </c>
      <c r="T53" s="19">
        <v>546.34593475640679</v>
      </c>
      <c r="U53" s="19">
        <v>663.53364834385422</v>
      </c>
      <c r="V53" s="19">
        <v>-1425.8270921740009</v>
      </c>
      <c r="W53" s="19">
        <v>1606.8288752004651</v>
      </c>
      <c r="X53" s="19">
        <v>-449.54775446861174</v>
      </c>
      <c r="Y53" s="19">
        <v>-268.54597144214756</v>
      </c>
      <c r="Z53" s="19">
        <v>-481.38856306437083</v>
      </c>
      <c r="AA53" s="19"/>
      <c r="AB53" s="19"/>
      <c r="AC53" s="19"/>
      <c r="AE53" s="15">
        <f t="shared" ref="AE53:AK53" si="75">SUMIFS($B53:$AC53,$B$3:$AC$3,AE$3)</f>
        <v>79</v>
      </c>
      <c r="AF53" s="15">
        <f t="shared" si="75"/>
        <v>274</v>
      </c>
      <c r="AG53" s="15">
        <f t="shared" si="75"/>
        <v>439.7200123297622</v>
      </c>
      <c r="AH53" s="15">
        <f t="shared" si="75"/>
        <v>-345.79853291577615</v>
      </c>
      <c r="AI53" s="15">
        <f t="shared" si="75"/>
        <v>1434.4227740210392</v>
      </c>
      <c r="AJ53" s="15">
        <f t="shared" si="75"/>
        <v>-537.09194288429512</v>
      </c>
      <c r="AK53" s="15">
        <f t="shared" si="75"/>
        <v>-481.38856306437083</v>
      </c>
    </row>
    <row r="54" spans="1:37">
      <c r="A54" s="12" t="s">
        <v>42</v>
      </c>
      <c r="B54" s="13">
        <f t="shared" ref="B54:AC54" si="76">+B48+B53</f>
        <v>20321.084416045655</v>
      </c>
      <c r="C54" s="13">
        <f t="shared" si="76"/>
        <v>10443.406595411012</v>
      </c>
      <c r="D54" s="13">
        <f t="shared" si="76"/>
        <v>9999.0448429030002</v>
      </c>
      <c r="E54" s="13">
        <f t="shared" si="76"/>
        <v>7948.8364165385101</v>
      </c>
      <c r="F54" s="13">
        <f t="shared" si="76"/>
        <v>14336.629926504567</v>
      </c>
      <c r="G54" s="13">
        <f t="shared" si="76"/>
        <v>12820.96995242059</v>
      </c>
      <c r="H54" s="13">
        <f t="shared" si="76"/>
        <v>7280.826742028461</v>
      </c>
      <c r="I54" s="13">
        <f t="shared" si="76"/>
        <v>9983.9560781966375</v>
      </c>
      <c r="J54" s="13">
        <f t="shared" si="76"/>
        <v>10845.157872905937</v>
      </c>
      <c r="K54" s="13">
        <f t="shared" si="76"/>
        <v>16660.359364794836</v>
      </c>
      <c r="L54" s="13">
        <f t="shared" si="76"/>
        <v>7520.2160100950232</v>
      </c>
      <c r="M54" s="13">
        <f t="shared" si="76"/>
        <v>16404.355829395587</v>
      </c>
      <c r="N54" s="13">
        <f t="shared" si="76"/>
        <v>26272.209864953609</v>
      </c>
      <c r="O54" s="13">
        <f t="shared" si="76"/>
        <v>15660.445861621458</v>
      </c>
      <c r="P54" s="13">
        <f t="shared" si="76"/>
        <v>4241.1895832213368</v>
      </c>
      <c r="Q54" s="13">
        <f t="shared" si="76"/>
        <v>10170.651284582191</v>
      </c>
      <c r="R54" s="13">
        <f t="shared" si="76"/>
        <v>14996.54178637075</v>
      </c>
      <c r="S54" s="13">
        <f t="shared" si="76"/>
        <v>15337.199676486796</v>
      </c>
      <c r="T54" s="13">
        <f t="shared" si="76"/>
        <v>-330.68924505918892</v>
      </c>
      <c r="U54" s="13">
        <f t="shared" si="76"/>
        <v>6415.4747321097984</v>
      </c>
      <c r="V54" s="13">
        <f t="shared" si="76"/>
        <v>13112.269813137267</v>
      </c>
      <c r="W54" s="13">
        <f t="shared" si="76"/>
        <v>3297.0263732910362</v>
      </c>
      <c r="X54" s="13">
        <f t="shared" si="76"/>
        <v>3137.4033734752311</v>
      </c>
      <c r="Y54" s="13">
        <f t="shared" si="76"/>
        <v>2889.3096010042404</v>
      </c>
      <c r="Z54" s="13">
        <f t="shared" si="76"/>
        <v>12208.284091342335</v>
      </c>
      <c r="AA54" s="13"/>
      <c r="AB54" s="13"/>
      <c r="AC54" s="13"/>
      <c r="AE54" s="13">
        <f t="shared" ref="AE54:AK54" si="77">+AE48+AE53</f>
        <v>48712.37227089818</v>
      </c>
      <c r="AF54" s="13">
        <f t="shared" si="77"/>
        <v>44422.38269915025</v>
      </c>
      <c r="AG54" s="13">
        <f t="shared" si="77"/>
        <v>51430.089077191384</v>
      </c>
      <c r="AH54" s="13">
        <f t="shared" si="77"/>
        <v>56344.496594378594</v>
      </c>
      <c r="AI54" s="13">
        <f t="shared" si="77"/>
        <v>36418.526949908155</v>
      </c>
      <c r="AJ54" s="13">
        <f t="shared" si="77"/>
        <v>22436.009160907775</v>
      </c>
      <c r="AK54" s="13">
        <f t="shared" si="77"/>
        <v>12208.284091342335</v>
      </c>
    </row>
    <row r="55" spans="1:37" s="26" customFormat="1" ht="9.7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E55" s="13"/>
      <c r="AF55" s="13"/>
      <c r="AG55" s="13"/>
      <c r="AH55" s="13"/>
      <c r="AI55" s="13"/>
      <c r="AJ55" s="13"/>
      <c r="AK55" s="13"/>
    </row>
    <row r="56" spans="1:37">
      <c r="A56" s="12" t="s">
        <v>43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E56" s="15"/>
      <c r="AF56" s="15"/>
      <c r="AG56" s="15"/>
      <c r="AH56" s="15"/>
      <c r="AI56" s="15"/>
      <c r="AJ56" s="15"/>
      <c r="AK56" s="15"/>
    </row>
    <row r="57" spans="1:37">
      <c r="A57" s="14" t="s">
        <v>44</v>
      </c>
      <c r="B57" s="15">
        <f t="shared" ref="B57:D57" si="78">+B54</f>
        <v>20321.084416045655</v>
      </c>
      <c r="C57" s="15">
        <f t="shared" si="78"/>
        <v>10443.406595411012</v>
      </c>
      <c r="D57" s="15">
        <f t="shared" si="78"/>
        <v>9999.0448429030002</v>
      </c>
      <c r="E57" s="15">
        <f t="shared" ref="E57:M57" si="79">+E54</f>
        <v>7948.8364165385101</v>
      </c>
      <c r="F57" s="15">
        <f t="shared" si="79"/>
        <v>14336.629926504567</v>
      </c>
      <c r="G57" s="15">
        <f t="shared" si="79"/>
        <v>12820.96995242059</v>
      </c>
      <c r="H57" s="15">
        <f t="shared" si="79"/>
        <v>7280.826742028461</v>
      </c>
      <c r="I57" s="15">
        <f t="shared" si="79"/>
        <v>9983.9560781966375</v>
      </c>
      <c r="J57" s="15">
        <f t="shared" si="79"/>
        <v>10845.157872905937</v>
      </c>
      <c r="K57" s="15">
        <f t="shared" si="79"/>
        <v>16660.359364794836</v>
      </c>
      <c r="L57" s="15">
        <f t="shared" si="79"/>
        <v>7520.2160100950232</v>
      </c>
      <c r="M57" s="15">
        <f t="shared" si="79"/>
        <v>16404.355829395587</v>
      </c>
      <c r="N57" s="15">
        <f t="shared" ref="N57:O57" si="80">+N54</f>
        <v>26272.209864953609</v>
      </c>
      <c r="O57" s="15">
        <f t="shared" si="80"/>
        <v>15660.445861621458</v>
      </c>
      <c r="P57" s="15">
        <f t="shared" ref="P57" si="81">+P54</f>
        <v>4241.1895832213368</v>
      </c>
      <c r="Q57" s="15">
        <f t="shared" ref="Q57:V57" si="82">+Q54</f>
        <v>10170.651284582191</v>
      </c>
      <c r="R57" s="15">
        <f t="shared" si="82"/>
        <v>14996.54178637075</v>
      </c>
      <c r="S57" s="15">
        <f t="shared" si="82"/>
        <v>15337.199676486796</v>
      </c>
      <c r="T57" s="15">
        <f t="shared" si="82"/>
        <v>-330.68924505918892</v>
      </c>
      <c r="U57" s="15">
        <f t="shared" si="82"/>
        <v>6415.4747321097984</v>
      </c>
      <c r="V57" s="15">
        <f t="shared" si="82"/>
        <v>13112.269813137267</v>
      </c>
      <c r="W57" s="15">
        <f t="shared" ref="W57:X57" si="83">+W54</f>
        <v>3297.0263732910362</v>
      </c>
      <c r="X57" s="15">
        <f t="shared" si="83"/>
        <v>3137.4033734752311</v>
      </c>
      <c r="Y57" s="15">
        <f t="shared" ref="Y57:Z57" si="84">+Y54</f>
        <v>2889.3096010042404</v>
      </c>
      <c r="Z57" s="15">
        <f t="shared" si="84"/>
        <v>12208.284091342335</v>
      </c>
      <c r="AA57" s="15"/>
      <c r="AB57" s="15"/>
      <c r="AC57" s="15"/>
      <c r="AE57" s="15">
        <f t="shared" ref="AC57:AK57" si="85">+AE54</f>
        <v>48712.37227089818</v>
      </c>
      <c r="AF57" s="15">
        <f t="shared" si="85"/>
        <v>44422.38269915025</v>
      </c>
      <c r="AG57" s="15">
        <f t="shared" si="85"/>
        <v>51430.089077191384</v>
      </c>
      <c r="AH57" s="15">
        <f t="shared" si="85"/>
        <v>56344.496594378594</v>
      </c>
      <c r="AI57" s="15">
        <f t="shared" si="85"/>
        <v>36418.526949908155</v>
      </c>
      <c r="AJ57" s="15">
        <f t="shared" si="85"/>
        <v>22436.009160907775</v>
      </c>
      <c r="AK57" s="15">
        <f t="shared" si="85"/>
        <v>12208.284091342335</v>
      </c>
    </row>
    <row r="58" spans="1:37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AK58" s="68"/>
    </row>
    <row r="59" spans="1:37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37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9"/>
    </row>
    <row r="61" spans="1:37">
      <c r="A61" s="14"/>
      <c r="M61" s="9"/>
    </row>
    <row r="62" spans="1:37">
      <c r="A62" s="14"/>
      <c r="M62" s="9"/>
    </row>
    <row r="63" spans="1:37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37">
      <c r="A64" s="1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>
      <c r="A65" s="14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>
      <c r="A66" s="14"/>
    </row>
    <row r="67" spans="1:13">
      <c r="A67" s="14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>
      <c r="A68" s="14"/>
    </row>
    <row r="69" spans="1:13">
      <c r="A69" s="14"/>
    </row>
    <row r="70" spans="1:13">
      <c r="A70" s="14"/>
    </row>
    <row r="73" spans="1:13" ht="13.5" customHeight="1"/>
  </sheetData>
  <pageMargins left="0.7" right="0.7" top="0.75" bottom="0.75" header="0.3" footer="0.3"/>
  <pageSetup orientation="portrait" r:id="rId1"/>
  <ignoredErrors>
    <ignoredError sqref="AD28:AK28 AD27 AD31 AD30 AD32 AD29" evalError="1"/>
    <ignoredError sqref="AE10:AK10 AE30:AK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F5FA-826A-42FE-8012-108C2C5F3EF5}">
  <dimension ref="A1:AD60"/>
  <sheetViews>
    <sheetView showGridLines="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U5" sqref="U5"/>
    </sheetView>
  </sheetViews>
  <sheetFormatPr defaultColWidth="9.44140625" defaultRowHeight="13.5"/>
  <cols>
    <col min="1" max="1" width="27.109375" style="38" customWidth="1"/>
    <col min="2" max="27" width="5.77734375" style="23" bestFit="1" customWidth="1"/>
    <col min="28" max="30" width="5.77734375" style="23" hidden="1" customWidth="1"/>
    <col min="31" max="16384" width="9.44140625" style="23"/>
  </cols>
  <sheetData>
    <row r="1" spans="1:30" ht="25.5">
      <c r="A1" s="69" t="s">
        <v>46</v>
      </c>
    </row>
    <row r="3" spans="1:30">
      <c r="A3" s="42"/>
      <c r="B3" s="76">
        <v>2019</v>
      </c>
      <c r="C3" s="28">
        <v>2020</v>
      </c>
      <c r="D3" s="28">
        <v>2020</v>
      </c>
      <c r="E3" s="28">
        <v>2020</v>
      </c>
      <c r="F3" s="76">
        <v>2020</v>
      </c>
      <c r="G3" s="28">
        <v>2021</v>
      </c>
      <c r="H3" s="28">
        <v>2021</v>
      </c>
      <c r="I3" s="28">
        <v>2021</v>
      </c>
      <c r="J3" s="76">
        <v>2021</v>
      </c>
      <c r="K3" s="28">
        <v>2022</v>
      </c>
      <c r="L3" s="28">
        <v>2022</v>
      </c>
      <c r="M3" s="28">
        <v>2022</v>
      </c>
      <c r="N3" s="76">
        <v>2022</v>
      </c>
      <c r="O3" s="28">
        <v>2023</v>
      </c>
      <c r="P3" s="28">
        <v>2023</v>
      </c>
      <c r="Q3" s="28">
        <v>2023</v>
      </c>
      <c r="R3" s="76">
        <v>2023</v>
      </c>
      <c r="S3" s="28">
        <v>2024</v>
      </c>
      <c r="T3" s="28">
        <v>2024</v>
      </c>
      <c r="U3" s="28">
        <v>2024</v>
      </c>
      <c r="V3" s="76">
        <v>2024</v>
      </c>
      <c r="W3" s="28">
        <v>2025</v>
      </c>
      <c r="X3" s="28">
        <v>2025</v>
      </c>
      <c r="Y3" s="28">
        <v>2025</v>
      </c>
      <c r="Z3" s="76">
        <v>2025</v>
      </c>
      <c r="AA3" s="28">
        <v>2026</v>
      </c>
      <c r="AB3" s="28">
        <v>2026</v>
      </c>
      <c r="AC3" s="28">
        <v>2026</v>
      </c>
      <c r="AD3" s="76">
        <v>2026</v>
      </c>
    </row>
    <row r="4" spans="1:30">
      <c r="A4" s="71" t="s">
        <v>222</v>
      </c>
      <c r="B4" s="77" t="s">
        <v>202</v>
      </c>
      <c r="C4" s="29" t="s">
        <v>203</v>
      </c>
      <c r="D4" s="29" t="s">
        <v>204</v>
      </c>
      <c r="E4" s="29" t="s">
        <v>205</v>
      </c>
      <c r="F4" s="77" t="s">
        <v>202</v>
      </c>
      <c r="G4" s="29" t="s">
        <v>203</v>
      </c>
      <c r="H4" s="29" t="s">
        <v>204</v>
      </c>
      <c r="I4" s="29" t="s">
        <v>205</v>
      </c>
      <c r="J4" s="77" t="s">
        <v>202</v>
      </c>
      <c r="K4" s="29" t="s">
        <v>203</v>
      </c>
      <c r="L4" s="29" t="s">
        <v>204</v>
      </c>
      <c r="M4" s="29" t="s">
        <v>205</v>
      </c>
      <c r="N4" s="77" t="s">
        <v>202</v>
      </c>
      <c r="O4" s="29" t="s">
        <v>203</v>
      </c>
      <c r="P4" s="29" t="s">
        <v>204</v>
      </c>
      <c r="Q4" s="29" t="s">
        <v>205</v>
      </c>
      <c r="R4" s="77" t="s">
        <v>202</v>
      </c>
      <c r="S4" s="29" t="s">
        <v>203</v>
      </c>
      <c r="T4" s="29" t="s">
        <v>204</v>
      </c>
      <c r="U4" s="29" t="s">
        <v>205</v>
      </c>
      <c r="V4" s="77" t="s">
        <v>202</v>
      </c>
      <c r="W4" s="29" t="s">
        <v>203</v>
      </c>
      <c r="X4" s="29" t="s">
        <v>204</v>
      </c>
      <c r="Y4" s="29" t="s">
        <v>205</v>
      </c>
      <c r="Z4" s="77" t="s">
        <v>202</v>
      </c>
      <c r="AA4" s="29" t="s">
        <v>203</v>
      </c>
      <c r="AB4" s="29" t="s">
        <v>204</v>
      </c>
      <c r="AC4" s="29" t="s">
        <v>205</v>
      </c>
      <c r="AD4" s="77" t="s">
        <v>202</v>
      </c>
    </row>
    <row r="5" spans="1:30" ht="28.5" customHeight="1">
      <c r="A5" s="31" t="s">
        <v>47</v>
      </c>
      <c r="B5" s="78"/>
      <c r="C5" s="32"/>
      <c r="D5" s="32"/>
      <c r="E5" s="32"/>
      <c r="F5" s="78"/>
      <c r="G5" s="32"/>
      <c r="H5" s="32"/>
      <c r="I5" s="32"/>
      <c r="J5" s="78"/>
      <c r="K5" s="32"/>
      <c r="L5" s="32"/>
      <c r="M5" s="32"/>
      <c r="N5" s="78"/>
      <c r="R5" s="78"/>
      <c r="V5" s="78"/>
      <c r="Z5" s="78"/>
      <c r="AD5" s="78"/>
    </row>
    <row r="6" spans="1:30" ht="19.5" customHeight="1">
      <c r="A6" s="33" t="s">
        <v>48</v>
      </c>
      <c r="B6" s="79"/>
      <c r="C6" s="34"/>
      <c r="D6" s="34"/>
      <c r="E6" s="34"/>
      <c r="F6" s="79"/>
      <c r="G6" s="34"/>
      <c r="H6" s="34"/>
      <c r="I6" s="34"/>
      <c r="J6" s="79"/>
      <c r="K6" s="34"/>
      <c r="L6" s="34"/>
      <c r="M6" s="34"/>
      <c r="N6" s="79"/>
      <c r="R6" s="79"/>
      <c r="V6" s="79"/>
      <c r="Z6" s="79"/>
      <c r="AD6" s="79"/>
    </row>
    <row r="7" spans="1:30">
      <c r="A7" s="30" t="s">
        <v>49</v>
      </c>
      <c r="B7" s="80">
        <v>2901.3540687895274</v>
      </c>
      <c r="C7" s="35">
        <v>3304.7246982398274</v>
      </c>
      <c r="D7" s="35">
        <v>3061.7780239177578</v>
      </c>
      <c r="E7" s="35">
        <v>3093.4267283710578</v>
      </c>
      <c r="F7" s="80">
        <v>4916</v>
      </c>
      <c r="G7" s="35">
        <v>4911.5440717001511</v>
      </c>
      <c r="H7" s="35">
        <v>4806.4389834605518</v>
      </c>
      <c r="I7" s="35">
        <v>4761.2363632800798</v>
      </c>
      <c r="J7" s="80">
        <v>4790.5716714391983</v>
      </c>
      <c r="K7" s="35">
        <v>4747.4100185047128</v>
      </c>
      <c r="L7" s="35">
        <v>4707.4086172749821</v>
      </c>
      <c r="M7" s="35">
        <v>4242.0490531910955</v>
      </c>
      <c r="N7" s="80">
        <v>4388.0407554464609</v>
      </c>
      <c r="O7" s="35">
        <v>4388.5212709169409</v>
      </c>
      <c r="P7" s="35">
        <v>4398.7057909514924</v>
      </c>
      <c r="Q7" s="35">
        <v>4476.5174840572099</v>
      </c>
      <c r="R7" s="80">
        <v>3653.8099627814399</v>
      </c>
      <c r="S7" s="35">
        <v>2310.5177971593348</v>
      </c>
      <c r="T7" s="35">
        <v>2358.7942796671514</v>
      </c>
      <c r="U7" s="35">
        <v>2427.0155351891312</v>
      </c>
      <c r="V7" s="80">
        <v>4364.8087579172579</v>
      </c>
      <c r="W7" s="35">
        <v>4349.7970856526899</v>
      </c>
      <c r="X7" s="35">
        <v>4813.2494458383026</v>
      </c>
      <c r="Y7" s="35">
        <v>4808.8704001795813</v>
      </c>
      <c r="Z7" s="80">
        <v>4410.0644222794217</v>
      </c>
      <c r="AA7" s="35">
        <v>5287.0931155517965</v>
      </c>
      <c r="AB7" s="35"/>
      <c r="AC7" s="35"/>
      <c r="AD7" s="80"/>
    </row>
    <row r="8" spans="1:30">
      <c r="A8" s="30" t="s">
        <v>148</v>
      </c>
      <c r="B8" s="80">
        <v>21864.231029999999</v>
      </c>
      <c r="C8" s="35">
        <v>21739.399100000006</v>
      </c>
      <c r="D8" s="35">
        <v>20629.337180000013</v>
      </c>
      <c r="E8" s="35">
        <v>19473.179770000013</v>
      </c>
      <c r="F8" s="80">
        <v>24225.297190000012</v>
      </c>
      <c r="G8" s="35">
        <v>23083.206610000001</v>
      </c>
      <c r="H8" s="35">
        <v>30893.326330000011</v>
      </c>
      <c r="I8" s="35">
        <v>32624.756610000008</v>
      </c>
      <c r="J8" s="80">
        <v>33672.004730000015</v>
      </c>
      <c r="K8" s="35">
        <v>33909.80975</v>
      </c>
      <c r="L8" s="35">
        <v>33687.046220000004</v>
      </c>
      <c r="M8" s="35">
        <v>33062.633190000008</v>
      </c>
      <c r="N8" s="80">
        <v>32675.76671</v>
      </c>
      <c r="O8" s="35">
        <v>32448.880249999995</v>
      </c>
      <c r="P8" s="35">
        <v>31964.274119999998</v>
      </c>
      <c r="Q8" s="35">
        <v>31457.603419999989</v>
      </c>
      <c r="R8" s="80">
        <v>30853.482159999992</v>
      </c>
      <c r="S8" s="35">
        <v>30463.244939999997</v>
      </c>
      <c r="T8" s="35">
        <v>29340.566400000003</v>
      </c>
      <c r="U8" s="35">
        <v>28165.038739999993</v>
      </c>
      <c r="V8" s="80">
        <v>27223.746889999991</v>
      </c>
      <c r="W8" s="35">
        <v>26460.438829999996</v>
      </c>
      <c r="X8" s="35">
        <v>25349.519389999994</v>
      </c>
      <c r="Y8" s="35">
        <v>25230.004839999991</v>
      </c>
      <c r="Z8" s="80">
        <v>24528.552579999996</v>
      </c>
      <c r="AA8" s="35">
        <v>23687.487280000005</v>
      </c>
      <c r="AB8" s="35"/>
      <c r="AC8" s="35"/>
      <c r="AD8" s="80"/>
    </row>
    <row r="9" spans="1:30">
      <c r="A9" s="30" t="s">
        <v>50</v>
      </c>
      <c r="B9" s="81"/>
      <c r="F9" s="81"/>
      <c r="J9" s="81">
        <v>1153.5940499999992</v>
      </c>
      <c r="K9" s="35">
        <v>655.94183999999984</v>
      </c>
      <c r="L9" s="35">
        <v>579.42753999999968</v>
      </c>
      <c r="M9" s="35">
        <v>503.66862999999961</v>
      </c>
      <c r="N9" s="81">
        <v>509.40970999999996</v>
      </c>
      <c r="O9" s="35">
        <v>443.80777999999998</v>
      </c>
      <c r="P9" s="35">
        <v>392.52451999999954</v>
      </c>
      <c r="Q9" s="35">
        <v>329.19374999999974</v>
      </c>
      <c r="R9" s="81">
        <v>273.13751999999999</v>
      </c>
      <c r="S9" s="35">
        <v>277.16937182069063</v>
      </c>
      <c r="T9" s="35">
        <v>266.52351049151048</v>
      </c>
      <c r="U9" s="35">
        <v>247.14954845984562</v>
      </c>
      <c r="V9" s="81">
        <v>5483.9400950961617</v>
      </c>
      <c r="W9" s="35">
        <v>5482.6813961942753</v>
      </c>
      <c r="X9" s="35">
        <v>5533.2334199838588</v>
      </c>
      <c r="Y9" s="35">
        <v>5489.3718098575873</v>
      </c>
      <c r="Z9" s="81">
        <v>5712.4158636743423</v>
      </c>
      <c r="AA9" s="35">
        <v>6406.3548465505264</v>
      </c>
      <c r="AB9" s="35"/>
      <c r="AC9" s="35"/>
      <c r="AD9" s="81"/>
    </row>
    <row r="10" spans="1:30">
      <c r="A10" s="30" t="s">
        <v>134</v>
      </c>
      <c r="B10" s="80">
        <v>35988.503873455491</v>
      </c>
      <c r="C10" s="35">
        <v>34184.617772900987</v>
      </c>
      <c r="D10" s="35">
        <v>32438.412043493801</v>
      </c>
      <c r="E10" s="35">
        <v>31558.227229084816</v>
      </c>
      <c r="F10" s="80">
        <v>15403</v>
      </c>
      <c r="G10" s="35">
        <v>14389.215043034677</v>
      </c>
      <c r="H10" s="35">
        <v>14532.578506864753</v>
      </c>
      <c r="I10" s="35">
        <v>15372.3940020505</v>
      </c>
      <c r="J10" s="80">
        <v>15729.125212386585</v>
      </c>
      <c r="K10" s="35">
        <v>14638.96509843996</v>
      </c>
      <c r="L10" s="35">
        <v>15998.378069422321</v>
      </c>
      <c r="M10" s="35">
        <v>14657.776720324599</v>
      </c>
      <c r="N10" s="80">
        <v>12789.997279200692</v>
      </c>
      <c r="O10" s="35">
        <v>12680.14709199662</v>
      </c>
      <c r="P10" s="35">
        <v>13359.136711085181</v>
      </c>
      <c r="Q10" s="35">
        <v>16821.768393498478</v>
      </c>
      <c r="R10" s="80">
        <v>16212.767773254118</v>
      </c>
      <c r="S10" s="35">
        <v>15011.218606526558</v>
      </c>
      <c r="T10" s="35">
        <v>13331.368402203279</v>
      </c>
      <c r="U10" s="35">
        <v>12465.962127081581</v>
      </c>
      <c r="V10" s="80">
        <v>12192.775780585624</v>
      </c>
      <c r="W10" s="35">
        <v>11625.66936141654</v>
      </c>
      <c r="X10" s="35">
        <v>10888.923102674771</v>
      </c>
      <c r="Y10" s="35">
        <v>10553.966231548511</v>
      </c>
      <c r="Z10" s="80">
        <v>10035.786514129257</v>
      </c>
      <c r="AA10" s="35">
        <v>9194.4388750409598</v>
      </c>
      <c r="AB10" s="35"/>
      <c r="AC10" s="35"/>
      <c r="AD10" s="80"/>
    </row>
    <row r="11" spans="1:30">
      <c r="A11" s="30" t="s">
        <v>52</v>
      </c>
      <c r="B11" s="80">
        <v>40820.617585414315</v>
      </c>
      <c r="C11" s="35">
        <v>40589.849318173387</v>
      </c>
      <c r="D11" s="35">
        <v>43798.532032886353</v>
      </c>
      <c r="E11" s="35">
        <v>37992.073558327029</v>
      </c>
      <c r="F11" s="80">
        <v>38263</v>
      </c>
      <c r="G11" s="35">
        <v>27386.63197985509</v>
      </c>
      <c r="H11" s="35">
        <v>26569.356417272251</v>
      </c>
      <c r="I11" s="35">
        <v>30244.44542505973</v>
      </c>
      <c r="J11" s="80">
        <v>30916.746572732394</v>
      </c>
      <c r="K11" s="35">
        <v>27194.35000627991</v>
      </c>
      <c r="L11" s="35">
        <v>27207.338943683117</v>
      </c>
      <c r="M11" s="35">
        <v>23469.300138551338</v>
      </c>
      <c r="N11" s="80">
        <v>28271.206958495572</v>
      </c>
      <c r="O11" s="35">
        <v>25162.390440708732</v>
      </c>
      <c r="P11" s="35">
        <v>68879.546518187533</v>
      </c>
      <c r="Q11" s="35">
        <v>72987.189240091233</v>
      </c>
      <c r="R11" s="80">
        <v>74581.845272023857</v>
      </c>
      <c r="S11" s="35">
        <v>71102.790440896657</v>
      </c>
      <c r="T11" s="35">
        <v>67567.561967247224</v>
      </c>
      <c r="U11" s="35">
        <v>64059.675274304194</v>
      </c>
      <c r="V11" s="80">
        <v>60503.218018518754</v>
      </c>
      <c r="W11" s="35">
        <v>56695.571334087363</v>
      </c>
      <c r="X11" s="35">
        <v>53206.423577835296</v>
      </c>
      <c r="Y11" s="35">
        <v>49297.208567449503</v>
      </c>
      <c r="Z11" s="80">
        <v>52344.13556566606</v>
      </c>
      <c r="AA11" s="35">
        <v>47965.506570026067</v>
      </c>
      <c r="AB11" s="35"/>
      <c r="AC11" s="35"/>
      <c r="AD11" s="80"/>
    </row>
    <row r="12" spans="1:30">
      <c r="A12" s="30" t="s">
        <v>51</v>
      </c>
      <c r="B12" s="80"/>
      <c r="C12" s="35"/>
      <c r="D12" s="35"/>
      <c r="E12" s="35"/>
      <c r="F12" s="80"/>
      <c r="G12" s="35">
        <v>3448.6576754010271</v>
      </c>
      <c r="H12" s="35">
        <v>3499.5197594967635</v>
      </c>
      <c r="I12" s="35">
        <v>3627.6460996353094</v>
      </c>
      <c r="J12" s="80">
        <v>0</v>
      </c>
      <c r="K12" s="35">
        <v>0</v>
      </c>
      <c r="L12" s="35">
        <v>1.0000000000000001E-9</v>
      </c>
      <c r="M12" s="35">
        <v>0</v>
      </c>
      <c r="N12" s="80">
        <v>0</v>
      </c>
      <c r="O12" s="35">
        <v>0</v>
      </c>
      <c r="P12" s="35">
        <v>0</v>
      </c>
      <c r="Q12" s="35">
        <v>0</v>
      </c>
      <c r="R12" s="80">
        <v>0</v>
      </c>
      <c r="S12" s="35">
        <v>0</v>
      </c>
      <c r="T12" s="35">
        <v>0</v>
      </c>
      <c r="U12" s="35">
        <v>0</v>
      </c>
      <c r="V12" s="80">
        <v>0</v>
      </c>
      <c r="W12" s="35">
        <v>0</v>
      </c>
      <c r="X12" s="35">
        <v>0</v>
      </c>
      <c r="Y12" s="35">
        <v>0</v>
      </c>
      <c r="Z12" s="80">
        <v>0</v>
      </c>
      <c r="AA12" s="35">
        <v>0</v>
      </c>
      <c r="AB12" s="35"/>
      <c r="AC12" s="35"/>
      <c r="AD12" s="80"/>
    </row>
    <row r="13" spans="1:30" hidden="1">
      <c r="A13" s="30" t="s">
        <v>135</v>
      </c>
      <c r="B13" s="82"/>
      <c r="C13" s="36"/>
      <c r="D13" s="36"/>
      <c r="E13" s="36"/>
      <c r="F13" s="82"/>
      <c r="G13" s="36"/>
      <c r="H13" s="36"/>
      <c r="I13" s="36"/>
      <c r="J13" s="82"/>
      <c r="K13" s="35">
        <v>0</v>
      </c>
      <c r="L13" s="35">
        <v>0</v>
      </c>
      <c r="M13" s="35">
        <v>0</v>
      </c>
      <c r="N13" s="82">
        <v>0</v>
      </c>
      <c r="O13" s="35">
        <v>0</v>
      </c>
      <c r="P13" s="35">
        <v>0</v>
      </c>
      <c r="Q13" s="35">
        <v>0</v>
      </c>
      <c r="R13" s="82">
        <v>0</v>
      </c>
      <c r="S13" s="35">
        <v>0</v>
      </c>
      <c r="T13" s="35">
        <v>0</v>
      </c>
      <c r="U13" s="35">
        <v>0</v>
      </c>
      <c r="V13" s="82">
        <v>0</v>
      </c>
      <c r="W13" s="35">
        <v>0</v>
      </c>
      <c r="X13" s="35">
        <v>0</v>
      </c>
      <c r="Y13" s="35">
        <v>0</v>
      </c>
      <c r="Z13" s="82">
        <v>0</v>
      </c>
      <c r="AA13" s="35">
        <v>0</v>
      </c>
      <c r="AB13" s="35"/>
      <c r="AC13" s="35"/>
      <c r="AD13" s="82"/>
    </row>
    <row r="14" spans="1:30" s="37" customFormat="1">
      <c r="A14" s="33" t="s">
        <v>53</v>
      </c>
      <c r="B14" s="82">
        <f t="shared" ref="B14:Z14" si="0">SUM(B7:B13)</f>
        <v>101574.70655765933</v>
      </c>
      <c r="C14" s="36">
        <f t="shared" si="0"/>
        <v>99818.590889314219</v>
      </c>
      <c r="D14" s="36">
        <f t="shared" si="0"/>
        <v>99928.059280297923</v>
      </c>
      <c r="E14" s="36">
        <f t="shared" si="0"/>
        <v>92116.907285782916</v>
      </c>
      <c r="F14" s="82">
        <f t="shared" si="0"/>
        <v>82807.297190000012</v>
      </c>
      <c r="G14" s="36">
        <f t="shared" si="0"/>
        <v>73219.255379990951</v>
      </c>
      <c r="H14" s="36">
        <f t="shared" si="0"/>
        <v>80301.219997094333</v>
      </c>
      <c r="I14" s="36">
        <f t="shared" si="0"/>
        <v>86630.478500025638</v>
      </c>
      <c r="J14" s="82">
        <f t="shared" si="0"/>
        <v>86262.042236558191</v>
      </c>
      <c r="K14" s="36">
        <f t="shared" si="0"/>
        <v>81146.476713224591</v>
      </c>
      <c r="L14" s="36">
        <f t="shared" si="0"/>
        <v>82179.599390381423</v>
      </c>
      <c r="M14" s="36">
        <f t="shared" si="0"/>
        <v>75935.427732067037</v>
      </c>
      <c r="N14" s="82">
        <f t="shared" si="0"/>
        <v>78634.421413142729</v>
      </c>
      <c r="O14" s="36">
        <f t="shared" si="0"/>
        <v>75123.746833622281</v>
      </c>
      <c r="P14" s="36">
        <f t="shared" si="0"/>
        <v>118994.18766022421</v>
      </c>
      <c r="Q14" s="36">
        <f t="shared" si="0"/>
        <v>126072.27228764691</v>
      </c>
      <c r="R14" s="82">
        <f t="shared" si="0"/>
        <v>125575.0426880594</v>
      </c>
      <c r="S14" s="36">
        <f t="shared" si="0"/>
        <v>119164.94115640323</v>
      </c>
      <c r="T14" s="36">
        <f t="shared" si="0"/>
        <v>112864.81455960916</v>
      </c>
      <c r="U14" s="36">
        <f t="shared" si="0"/>
        <v>107364.84122503473</v>
      </c>
      <c r="V14" s="82">
        <f t="shared" si="0"/>
        <v>109768.48954211778</v>
      </c>
      <c r="W14" s="36">
        <f t="shared" si="0"/>
        <v>104614.15800735087</v>
      </c>
      <c r="X14" s="36">
        <f t="shared" si="0"/>
        <v>99791.348936332215</v>
      </c>
      <c r="Y14" s="36">
        <f t="shared" si="0"/>
        <v>95379.421849035163</v>
      </c>
      <c r="Z14" s="82">
        <f t="shared" si="0"/>
        <v>97030.954945749079</v>
      </c>
      <c r="AA14" s="36">
        <f t="shared" ref="AA14:AD14" si="1">SUM(AA7:AA13)</f>
        <v>92540.880687169352</v>
      </c>
      <c r="AB14" s="36"/>
      <c r="AC14" s="36"/>
      <c r="AD14" s="82"/>
    </row>
    <row r="15" spans="1:30" ht="9.75" customHeight="1">
      <c r="A15" s="30"/>
      <c r="B15" s="79"/>
      <c r="C15" s="34"/>
      <c r="D15" s="34"/>
      <c r="E15" s="34"/>
      <c r="F15" s="79"/>
      <c r="G15" s="34"/>
      <c r="H15" s="34"/>
      <c r="I15" s="34"/>
      <c r="J15" s="79"/>
      <c r="K15" s="35"/>
      <c r="L15" s="35"/>
      <c r="M15" s="35"/>
      <c r="N15" s="79"/>
      <c r="O15" s="35"/>
      <c r="P15" s="35"/>
      <c r="Q15" s="35"/>
      <c r="R15" s="79"/>
      <c r="S15" s="35"/>
      <c r="T15" s="35"/>
      <c r="U15" s="35"/>
      <c r="V15" s="79"/>
      <c r="W15" s="35"/>
      <c r="X15" s="35"/>
      <c r="Y15" s="35"/>
      <c r="Z15" s="79"/>
      <c r="AA15" s="35"/>
      <c r="AB15" s="35"/>
      <c r="AC15" s="35"/>
      <c r="AD15" s="79"/>
    </row>
    <row r="16" spans="1:30">
      <c r="A16" s="33" t="s">
        <v>54</v>
      </c>
      <c r="B16" s="80"/>
      <c r="C16" s="35"/>
      <c r="D16" s="35"/>
      <c r="E16" s="35"/>
      <c r="F16" s="80"/>
      <c r="G16" s="35"/>
      <c r="H16" s="35"/>
      <c r="I16" s="35"/>
      <c r="J16" s="80"/>
      <c r="K16" s="35"/>
      <c r="L16" s="35"/>
      <c r="M16" s="35"/>
      <c r="N16" s="80"/>
      <c r="O16" s="35"/>
      <c r="P16" s="35"/>
      <c r="Q16" s="35"/>
      <c r="R16" s="80"/>
      <c r="S16" s="35"/>
      <c r="T16" s="35"/>
      <c r="U16" s="35"/>
      <c r="V16" s="80"/>
      <c r="W16" s="35"/>
      <c r="X16" s="35"/>
      <c r="Y16" s="35"/>
      <c r="Z16" s="80"/>
      <c r="AA16" s="35"/>
      <c r="AB16" s="35"/>
      <c r="AC16" s="35"/>
      <c r="AD16" s="80"/>
    </row>
    <row r="17" spans="1:30">
      <c r="A17" s="30" t="s">
        <v>56</v>
      </c>
      <c r="B17" s="80">
        <v>732.43165067423297</v>
      </c>
      <c r="C17" s="35">
        <v>843.90748651438571</v>
      </c>
      <c r="D17" s="35">
        <v>1674.7912018525378</v>
      </c>
      <c r="E17" s="35">
        <v>1363.0855918286945</v>
      </c>
      <c r="F17" s="80">
        <v>1195.5173832048486</v>
      </c>
      <c r="G17" s="35">
        <v>3222.0978157643399</v>
      </c>
      <c r="H17" s="35">
        <v>2724.553779107157</v>
      </c>
      <c r="I17" s="35">
        <v>1502.4516578933194</v>
      </c>
      <c r="J17" s="80">
        <v>1120.266828135472</v>
      </c>
      <c r="K17" s="35">
        <v>7822.893837752621</v>
      </c>
      <c r="L17" s="35">
        <v>-292.51243380722599</v>
      </c>
      <c r="M17" s="35">
        <v>-218.67774434207308</v>
      </c>
      <c r="N17" s="80">
        <v>225.15367495607848</v>
      </c>
      <c r="O17" s="35">
        <v>1844.7514854822366</v>
      </c>
      <c r="P17" s="35">
        <v>3696.4492602783885</v>
      </c>
      <c r="Q17" s="35">
        <v>3036.4570018813884</v>
      </c>
      <c r="R17" s="80">
        <v>3451.9169678103885</v>
      </c>
      <c r="S17" s="35">
        <v>4468.3264572043881</v>
      </c>
      <c r="T17" s="35">
        <v>3560.3284006600002</v>
      </c>
      <c r="U17" s="35">
        <v>3336.7076402869998</v>
      </c>
      <c r="V17" s="80">
        <v>8471.3457009599988</v>
      </c>
      <c r="W17" s="35">
        <v>9638.9087725280006</v>
      </c>
      <c r="X17" s="35">
        <v>8221.6886702500015</v>
      </c>
      <c r="Y17" s="35">
        <v>9364.0115680160034</v>
      </c>
      <c r="Z17" s="80">
        <v>7585.9733180720032</v>
      </c>
      <c r="AA17" s="35">
        <v>10692.775259130001</v>
      </c>
      <c r="AB17" s="35"/>
      <c r="AC17" s="35"/>
      <c r="AD17" s="80"/>
    </row>
    <row r="18" spans="1:30">
      <c r="A18" s="30" t="s">
        <v>136</v>
      </c>
      <c r="B18" s="80">
        <v>11571.438958076285</v>
      </c>
      <c r="C18" s="35">
        <v>10388.361433927979</v>
      </c>
      <c r="D18" s="35">
        <v>9205.283909779675</v>
      </c>
      <c r="E18" s="35">
        <v>8022.2063856313698</v>
      </c>
      <c r="F18" s="80">
        <v>6851.016421483062</v>
      </c>
      <c r="G18" s="35">
        <v>6053.0472373347557</v>
      </c>
      <c r="H18" s="35">
        <v>5380.486433186451</v>
      </c>
      <c r="I18" s="35">
        <v>4707.9256290381436</v>
      </c>
      <c r="J18" s="80">
        <v>4035.3648248898371</v>
      </c>
      <c r="K18" s="35">
        <v>3362.8040207415311</v>
      </c>
      <c r="L18" s="35">
        <v>2690.2432165932241</v>
      </c>
      <c r="M18" s="35">
        <v>2017.6824124449197</v>
      </c>
      <c r="N18" s="80">
        <v>1345.1216082966132</v>
      </c>
      <c r="O18" s="35">
        <v>672.56080414830649</v>
      </c>
      <c r="P18" s="35">
        <v>0</v>
      </c>
      <c r="Q18" s="35">
        <v>0</v>
      </c>
      <c r="R18" s="80">
        <v>0</v>
      </c>
      <c r="S18" s="35">
        <v>0</v>
      </c>
      <c r="T18" s="35">
        <v>0</v>
      </c>
      <c r="U18" s="35">
        <v>0</v>
      </c>
      <c r="V18" s="80">
        <v>0</v>
      </c>
      <c r="W18" s="35">
        <v>0</v>
      </c>
      <c r="X18" s="35">
        <v>0</v>
      </c>
      <c r="Y18" s="35">
        <v>0</v>
      </c>
      <c r="Z18" s="80">
        <v>0</v>
      </c>
      <c r="AA18" s="35">
        <v>0</v>
      </c>
      <c r="AB18" s="35"/>
      <c r="AC18" s="35"/>
      <c r="AD18" s="80"/>
    </row>
    <row r="19" spans="1:30">
      <c r="A19" s="30" t="s">
        <v>57</v>
      </c>
      <c r="B19" s="80"/>
      <c r="C19" s="35"/>
      <c r="D19" s="35"/>
      <c r="E19" s="35"/>
      <c r="F19" s="80"/>
      <c r="G19" s="35">
        <v>2381.8931470161583</v>
      </c>
      <c r="H19" s="35">
        <v>1502.6040732879369</v>
      </c>
      <c r="I19" s="35">
        <v>619.73925775014914</v>
      </c>
      <c r="J19" s="80">
        <v>3370.3920167701099</v>
      </c>
      <c r="K19" s="35">
        <v>2469.0113869063202</v>
      </c>
      <c r="L19" s="35">
        <v>8.636290985439758E-4</v>
      </c>
      <c r="M19" s="35">
        <v>8.7285428534474095E-4</v>
      </c>
      <c r="N19" s="80">
        <v>8.6974165923064885E-4</v>
      </c>
      <c r="O19" s="35">
        <v>0</v>
      </c>
      <c r="P19" s="35">
        <v>0</v>
      </c>
      <c r="Q19" s="35">
        <v>0</v>
      </c>
      <c r="R19" s="80">
        <v>0</v>
      </c>
      <c r="S19" s="35">
        <v>0</v>
      </c>
      <c r="T19" s="35">
        <v>0</v>
      </c>
      <c r="U19" s="35">
        <v>0</v>
      </c>
      <c r="V19" s="80">
        <v>0</v>
      </c>
      <c r="W19" s="35">
        <v>0</v>
      </c>
      <c r="X19" s="35">
        <v>0</v>
      </c>
      <c r="Y19" s="35">
        <v>0</v>
      </c>
      <c r="Z19" s="80">
        <v>0</v>
      </c>
      <c r="AA19" s="35">
        <v>0</v>
      </c>
      <c r="AB19" s="35"/>
      <c r="AC19" s="35"/>
      <c r="AD19" s="80"/>
    </row>
    <row r="20" spans="1:30">
      <c r="A20" s="30" t="s">
        <v>55</v>
      </c>
      <c r="B20" s="80">
        <v>57075.00606580278</v>
      </c>
      <c r="C20" s="35">
        <v>79502.942302083509</v>
      </c>
      <c r="D20" s="35">
        <v>57303.572066833294</v>
      </c>
      <c r="E20" s="35">
        <v>64399.700995156702</v>
      </c>
      <c r="F20" s="80">
        <v>67274.984256573996</v>
      </c>
      <c r="G20" s="35">
        <v>81240.96567187483</v>
      </c>
      <c r="H20" s="35">
        <v>86660.445156457819</v>
      </c>
      <c r="I20" s="35">
        <v>81464.068923432875</v>
      </c>
      <c r="J20" s="80">
        <v>76091.716503949399</v>
      </c>
      <c r="K20" s="35">
        <v>87767.231108609863</v>
      </c>
      <c r="L20" s="35">
        <v>99096.114671283838</v>
      </c>
      <c r="M20" s="35">
        <v>99430.901216066137</v>
      </c>
      <c r="N20" s="80">
        <v>98970.678600568295</v>
      </c>
      <c r="O20" s="35">
        <v>134693.74725387699</v>
      </c>
      <c r="P20" s="35">
        <v>125345.7499869084</v>
      </c>
      <c r="Q20" s="35">
        <v>137597.68227977055</v>
      </c>
      <c r="R20" s="80">
        <v>107769.66940625056</v>
      </c>
      <c r="S20" s="35">
        <v>144598.8090196306</v>
      </c>
      <c r="T20" s="35">
        <v>127693.65690470564</v>
      </c>
      <c r="U20" s="35">
        <v>119894.55889181601</v>
      </c>
      <c r="V20" s="80">
        <v>96733.207829749444</v>
      </c>
      <c r="W20" s="35">
        <v>126668.0159129129</v>
      </c>
      <c r="X20" s="35">
        <v>105467.76831390287</v>
      </c>
      <c r="Y20" s="35">
        <v>114735.50857241289</v>
      </c>
      <c r="Z20" s="80">
        <v>99783.938308433862</v>
      </c>
      <c r="AA20" s="35">
        <v>114857.90608483285</v>
      </c>
      <c r="AB20" s="35"/>
      <c r="AC20" s="35"/>
      <c r="AD20" s="80"/>
    </row>
    <row r="21" spans="1:30">
      <c r="A21" s="30" t="s">
        <v>58</v>
      </c>
      <c r="B21" s="80">
        <v>17192.534066688429</v>
      </c>
      <c r="C21" s="35">
        <v>17328.48255311</v>
      </c>
      <c r="D21" s="35">
        <v>18729.414250503938</v>
      </c>
      <c r="E21" s="35">
        <v>15830.056306217382</v>
      </c>
      <c r="F21" s="80">
        <v>11901.1033883706</v>
      </c>
      <c r="G21" s="35">
        <v>18927.628341604301</v>
      </c>
      <c r="H21" s="35">
        <v>27907.1474285886</v>
      </c>
      <c r="I21" s="35">
        <v>21242.075795733999</v>
      </c>
      <c r="J21" s="80">
        <v>12794.186466193249</v>
      </c>
      <c r="K21" s="35">
        <v>15902.392547631971</v>
      </c>
      <c r="L21" s="35">
        <v>19906.764778288063</v>
      </c>
      <c r="M21" s="35">
        <v>21609.08267604217</v>
      </c>
      <c r="N21" s="80">
        <v>12661.136608488305</v>
      </c>
      <c r="O21" s="35">
        <v>23090.277997576828</v>
      </c>
      <c r="P21" s="35">
        <v>18269.189765186034</v>
      </c>
      <c r="Q21" s="35">
        <v>15767.219774323397</v>
      </c>
      <c r="R21" s="80">
        <v>13192.72778290329</v>
      </c>
      <c r="S21" s="35">
        <v>18011.335525942141</v>
      </c>
      <c r="T21" s="35">
        <v>18598.961201115235</v>
      </c>
      <c r="U21" s="35">
        <v>14965.948486434683</v>
      </c>
      <c r="V21" s="80">
        <v>11085.289029843621</v>
      </c>
      <c r="W21" s="35">
        <v>19306.252825167092</v>
      </c>
      <c r="X21" s="35">
        <v>14580.555437811747</v>
      </c>
      <c r="Y21" s="35">
        <v>11759.344379198768</v>
      </c>
      <c r="Z21" s="80">
        <v>8272.5363741236652</v>
      </c>
      <c r="AA21" s="35">
        <v>22337.644439980137</v>
      </c>
      <c r="AB21" s="35"/>
      <c r="AC21" s="35"/>
      <c r="AD21" s="80"/>
    </row>
    <row r="22" spans="1:30">
      <c r="A22" s="30" t="s">
        <v>59</v>
      </c>
      <c r="B22" s="80">
        <v>53084.764336203807</v>
      </c>
      <c r="C22" s="35">
        <v>50652.40815729255</v>
      </c>
      <c r="D22" s="35">
        <v>47850.779346340139</v>
      </c>
      <c r="E22" s="35">
        <v>57701.787205429013</v>
      </c>
      <c r="F22" s="80">
        <v>54398.868580179267</v>
      </c>
      <c r="G22" s="35">
        <v>41198.36570601623</v>
      </c>
      <c r="H22" s="35">
        <v>15387.716060002866</v>
      </c>
      <c r="I22" s="35">
        <v>22567.915915844722</v>
      </c>
      <c r="J22" s="80">
        <v>37456.541509453949</v>
      </c>
      <c r="K22" s="35">
        <v>29530.423045192958</v>
      </c>
      <c r="L22" s="35">
        <v>27083.30478666101</v>
      </c>
      <c r="M22" s="35">
        <v>40999.074497977592</v>
      </c>
      <c r="N22" s="80">
        <v>41934.598225110676</v>
      </c>
      <c r="O22" s="35">
        <v>49740.634170553298</v>
      </c>
      <c r="P22" s="35">
        <v>51981.98417055919</v>
      </c>
      <c r="Q22" s="35">
        <v>42155.521992387192</v>
      </c>
      <c r="R22" s="80">
        <v>49208.944615583969</v>
      </c>
      <c r="S22" s="35">
        <v>36070.203249264428</v>
      </c>
      <c r="T22" s="35">
        <v>29485.881148350643</v>
      </c>
      <c r="U22" s="35">
        <v>29797.008680719224</v>
      </c>
      <c r="V22" s="80">
        <v>52632.109513383846</v>
      </c>
      <c r="W22" s="35">
        <v>39115.104801808178</v>
      </c>
      <c r="X22" s="35">
        <v>35825.588158101848</v>
      </c>
      <c r="Y22" s="35">
        <v>20903.514918307716</v>
      </c>
      <c r="Z22" s="80">
        <v>58433.669740769379</v>
      </c>
      <c r="AA22" s="35">
        <v>18507.481392165089</v>
      </c>
      <c r="AB22" s="35"/>
      <c r="AC22" s="35"/>
      <c r="AD22" s="80"/>
    </row>
    <row r="23" spans="1:30" s="37" customFormat="1">
      <c r="A23" s="33" t="s">
        <v>60</v>
      </c>
      <c r="B23" s="82">
        <f t="shared" ref="B23:Z23" si="2">SUM(B17:B22)</f>
        <v>139656.17507744551</v>
      </c>
      <c r="C23" s="36">
        <f t="shared" si="2"/>
        <v>158716.10193292843</v>
      </c>
      <c r="D23" s="36">
        <f t="shared" si="2"/>
        <v>134763.84077530957</v>
      </c>
      <c r="E23" s="36">
        <f t="shared" si="2"/>
        <v>147316.83648426316</v>
      </c>
      <c r="F23" s="82">
        <f t="shared" si="2"/>
        <v>141621.49002981177</v>
      </c>
      <c r="G23" s="36">
        <f t="shared" si="2"/>
        <v>153023.99791961061</v>
      </c>
      <c r="H23" s="36">
        <f t="shared" si="2"/>
        <v>139562.95293063082</v>
      </c>
      <c r="I23" s="36">
        <f t="shared" si="2"/>
        <v>132104.17717969322</v>
      </c>
      <c r="J23" s="82">
        <f t="shared" si="2"/>
        <v>134868.46814939202</v>
      </c>
      <c r="K23" s="36">
        <f t="shared" si="2"/>
        <v>146854.75594683527</v>
      </c>
      <c r="L23" s="36">
        <f t="shared" si="2"/>
        <v>148483.915882648</v>
      </c>
      <c r="M23" s="36">
        <f t="shared" si="2"/>
        <v>163838.06393104303</v>
      </c>
      <c r="N23" s="82">
        <f t="shared" si="2"/>
        <v>155136.68958716164</v>
      </c>
      <c r="O23" s="36">
        <f t="shared" si="2"/>
        <v>210041.97171163766</v>
      </c>
      <c r="P23" s="36">
        <f t="shared" si="2"/>
        <v>199293.373182932</v>
      </c>
      <c r="Q23" s="36">
        <f t="shared" si="2"/>
        <v>198556.88104836253</v>
      </c>
      <c r="R23" s="82">
        <f t="shared" si="2"/>
        <v>173623.25877254823</v>
      </c>
      <c r="S23" s="36">
        <f t="shared" si="2"/>
        <v>203148.67425204156</v>
      </c>
      <c r="T23" s="36">
        <f t="shared" si="2"/>
        <v>179338.82765483152</v>
      </c>
      <c r="U23" s="36">
        <f t="shared" si="2"/>
        <v>167994.22369925689</v>
      </c>
      <c r="V23" s="82">
        <f t="shared" si="2"/>
        <v>168921.9520739369</v>
      </c>
      <c r="W23" s="36">
        <f t="shared" si="2"/>
        <v>194728.28231241618</v>
      </c>
      <c r="X23" s="36">
        <f t="shared" si="2"/>
        <v>164095.60058006647</v>
      </c>
      <c r="Y23" s="36">
        <f t="shared" si="2"/>
        <v>156762.37943793539</v>
      </c>
      <c r="Z23" s="82">
        <f t="shared" si="2"/>
        <v>174076.11774139892</v>
      </c>
      <c r="AA23" s="36">
        <f t="shared" ref="AA23:AD23" si="3">SUM(AA17:AA22)</f>
        <v>166395.80717610806</v>
      </c>
      <c r="AB23" s="36"/>
      <c r="AC23" s="36"/>
      <c r="AD23" s="82"/>
    </row>
    <row r="24" spans="1:30" ht="9.75" customHeight="1">
      <c r="A24" s="30"/>
      <c r="B24" s="82"/>
      <c r="C24" s="36"/>
      <c r="D24" s="36"/>
      <c r="E24" s="36"/>
      <c r="F24" s="82"/>
      <c r="G24" s="36"/>
      <c r="H24" s="36"/>
      <c r="I24" s="36"/>
      <c r="J24" s="82"/>
      <c r="K24" s="35"/>
      <c r="L24" s="35"/>
      <c r="M24" s="35"/>
      <c r="N24" s="82"/>
      <c r="O24" s="35"/>
      <c r="P24" s="35"/>
      <c r="Q24" s="35"/>
      <c r="R24" s="82"/>
      <c r="S24" s="35"/>
      <c r="T24" s="35"/>
      <c r="U24" s="35"/>
      <c r="V24" s="82"/>
      <c r="W24" s="35"/>
      <c r="X24" s="35"/>
      <c r="Y24" s="35"/>
      <c r="Z24" s="82"/>
      <c r="AA24" s="35"/>
      <c r="AB24" s="35"/>
      <c r="AC24" s="35"/>
      <c r="AD24" s="82"/>
    </row>
    <row r="25" spans="1:30" s="37" customFormat="1">
      <c r="A25" s="33" t="s">
        <v>61</v>
      </c>
      <c r="B25" s="82">
        <f t="shared" ref="B25:Z25" si="4">SUM(B23,B14)</f>
        <v>241230.88163510483</v>
      </c>
      <c r="C25" s="36">
        <f t="shared" si="4"/>
        <v>258534.69282224265</v>
      </c>
      <c r="D25" s="36">
        <f t="shared" si="4"/>
        <v>234691.90005560749</v>
      </c>
      <c r="E25" s="36">
        <f t="shared" si="4"/>
        <v>239433.74377004607</v>
      </c>
      <c r="F25" s="82">
        <f t="shared" si="4"/>
        <v>224428.78721981178</v>
      </c>
      <c r="G25" s="36">
        <f t="shared" si="4"/>
        <v>226243.25329960155</v>
      </c>
      <c r="H25" s="36">
        <f t="shared" si="4"/>
        <v>219864.17292772516</v>
      </c>
      <c r="I25" s="36">
        <f t="shared" si="4"/>
        <v>218734.65567971885</v>
      </c>
      <c r="J25" s="82">
        <f t="shared" si="4"/>
        <v>221130.51038595021</v>
      </c>
      <c r="K25" s="36">
        <f t="shared" si="4"/>
        <v>228001.23266005988</v>
      </c>
      <c r="L25" s="36">
        <f t="shared" si="4"/>
        <v>230663.51527302942</v>
      </c>
      <c r="M25" s="36">
        <f t="shared" si="4"/>
        <v>239773.49166311006</v>
      </c>
      <c r="N25" s="82">
        <f t="shared" si="4"/>
        <v>233771.11100030437</v>
      </c>
      <c r="O25" s="36">
        <f t="shared" si="4"/>
        <v>285165.71854525991</v>
      </c>
      <c r="P25" s="36">
        <f t="shared" si="4"/>
        <v>318287.56084315619</v>
      </c>
      <c r="Q25" s="36">
        <f t="shared" si="4"/>
        <v>324629.15333600942</v>
      </c>
      <c r="R25" s="82">
        <f t="shared" si="4"/>
        <v>299198.30146060762</v>
      </c>
      <c r="S25" s="36">
        <f t="shared" si="4"/>
        <v>322313.61540844478</v>
      </c>
      <c r="T25" s="36">
        <f t="shared" si="4"/>
        <v>292203.64221444068</v>
      </c>
      <c r="U25" s="36">
        <f t="shared" si="4"/>
        <v>275359.06492429163</v>
      </c>
      <c r="V25" s="82">
        <f t="shared" si="4"/>
        <v>278690.44161605468</v>
      </c>
      <c r="W25" s="36">
        <f t="shared" si="4"/>
        <v>299342.44031976705</v>
      </c>
      <c r="X25" s="36">
        <f t="shared" si="4"/>
        <v>263886.94951639872</v>
      </c>
      <c r="Y25" s="36">
        <f t="shared" si="4"/>
        <v>252141.80128697056</v>
      </c>
      <c r="Z25" s="82">
        <f t="shared" si="4"/>
        <v>271107.072687148</v>
      </c>
      <c r="AA25" s="36">
        <f t="shared" ref="AA25:AD25" si="5">SUM(AA23,AA14)</f>
        <v>258936.68786327742</v>
      </c>
      <c r="AB25" s="36"/>
      <c r="AC25" s="36"/>
      <c r="AD25" s="82"/>
    </row>
    <row r="26" spans="1:30" s="37" customFormat="1">
      <c r="A26" s="33"/>
      <c r="B26" s="82"/>
      <c r="C26" s="36"/>
      <c r="D26" s="36"/>
      <c r="E26" s="36"/>
      <c r="F26" s="82"/>
      <c r="G26" s="36"/>
      <c r="H26" s="36"/>
      <c r="I26" s="36"/>
      <c r="J26" s="82"/>
      <c r="K26" s="36"/>
      <c r="L26" s="36"/>
      <c r="M26" s="36"/>
      <c r="N26" s="82"/>
      <c r="O26" s="36"/>
      <c r="P26" s="36"/>
      <c r="Q26" s="36"/>
      <c r="R26" s="82"/>
      <c r="S26" s="36"/>
      <c r="T26" s="36"/>
      <c r="U26" s="36"/>
      <c r="V26" s="82"/>
      <c r="W26" s="36"/>
      <c r="X26" s="36"/>
      <c r="Y26" s="36"/>
      <c r="Z26" s="82"/>
      <c r="AA26" s="36"/>
      <c r="AB26" s="36"/>
      <c r="AC26" s="36"/>
      <c r="AD26" s="82"/>
    </row>
    <row r="27" spans="1:30">
      <c r="A27" s="31" t="s">
        <v>62</v>
      </c>
      <c r="B27" s="79"/>
      <c r="C27" s="34"/>
      <c r="D27" s="34"/>
      <c r="E27" s="34"/>
      <c r="F27" s="79"/>
      <c r="G27" s="34"/>
      <c r="H27" s="34"/>
      <c r="I27" s="34"/>
      <c r="J27" s="79"/>
      <c r="K27" s="34"/>
      <c r="L27" s="34"/>
      <c r="M27" s="34"/>
      <c r="N27" s="79"/>
      <c r="O27" s="34"/>
      <c r="P27" s="34"/>
      <c r="Q27" s="34"/>
      <c r="R27" s="79"/>
      <c r="S27" s="34"/>
      <c r="T27" s="34"/>
      <c r="U27" s="34"/>
      <c r="V27" s="79"/>
      <c r="W27" s="34"/>
      <c r="X27" s="34"/>
      <c r="Y27" s="34"/>
      <c r="Z27" s="79"/>
      <c r="AA27" s="34"/>
      <c r="AB27" s="34"/>
      <c r="AC27" s="34"/>
      <c r="AD27" s="79"/>
    </row>
    <row r="28" spans="1:30" ht="19.5" customHeight="1">
      <c r="A28" s="33" t="s">
        <v>206</v>
      </c>
      <c r="B28" s="80"/>
      <c r="C28" s="35"/>
      <c r="D28" s="35"/>
      <c r="E28" s="35"/>
      <c r="F28" s="80"/>
      <c r="G28" s="35"/>
      <c r="H28" s="35"/>
      <c r="I28" s="35"/>
      <c r="J28" s="80"/>
      <c r="K28" s="35"/>
      <c r="L28" s="35"/>
      <c r="M28" s="35"/>
      <c r="N28" s="80"/>
      <c r="O28" s="35"/>
      <c r="P28" s="35"/>
      <c r="Q28" s="35"/>
      <c r="R28" s="80"/>
      <c r="S28" s="35"/>
      <c r="T28" s="35"/>
      <c r="U28" s="35"/>
      <c r="V28" s="80"/>
      <c r="W28" s="35"/>
      <c r="X28" s="35"/>
      <c r="Y28" s="35"/>
      <c r="Z28" s="80"/>
      <c r="AA28" s="35"/>
      <c r="AB28" s="35"/>
      <c r="AC28" s="35"/>
      <c r="AD28" s="80"/>
    </row>
    <row r="29" spans="1:30">
      <c r="A29" s="30" t="s">
        <v>64</v>
      </c>
      <c r="B29" s="80">
        <v>24655.986800000002</v>
      </c>
      <c r="C29" s="35">
        <v>24655.986800000006</v>
      </c>
      <c r="D29" s="35">
        <v>24655.986799999999</v>
      </c>
      <c r="E29" s="35">
        <v>24655.986800000002</v>
      </c>
      <c r="F29" s="80">
        <v>24655.986800000006</v>
      </c>
      <c r="G29" s="35">
        <v>24655.986800000002</v>
      </c>
      <c r="H29" s="35">
        <v>24655.986800000002</v>
      </c>
      <c r="I29" s="35">
        <v>24655.986800000002</v>
      </c>
      <c r="J29" s="80">
        <v>24655.986799999999</v>
      </c>
      <c r="K29" s="35">
        <v>24655.986800000006</v>
      </c>
      <c r="L29" s="35">
        <v>24655.986799999999</v>
      </c>
      <c r="M29" s="35">
        <v>24655.986799999999</v>
      </c>
      <c r="N29" s="80">
        <v>24655.986799999999</v>
      </c>
      <c r="O29" s="35">
        <v>24655.986799999999</v>
      </c>
      <c r="P29" s="35">
        <v>24655.986799999999</v>
      </c>
      <c r="Q29" s="35">
        <v>24655.986799999999</v>
      </c>
      <c r="R29" s="80">
        <v>24655.986799999999</v>
      </c>
      <c r="S29" s="35">
        <v>24655.986799999999</v>
      </c>
      <c r="T29" s="35">
        <v>24655.986800000006</v>
      </c>
      <c r="U29" s="35">
        <v>24655.986799999999</v>
      </c>
      <c r="V29" s="80">
        <v>24655.986800000006</v>
      </c>
      <c r="W29" s="35">
        <v>24655.986800000006</v>
      </c>
      <c r="X29" s="35">
        <v>24655.986800000002</v>
      </c>
      <c r="Y29" s="35">
        <v>24655.986800000006</v>
      </c>
      <c r="Z29" s="80">
        <v>24655.986799999999</v>
      </c>
      <c r="AA29" s="35">
        <v>24655.986799999999</v>
      </c>
      <c r="AB29" s="35"/>
      <c r="AC29" s="35"/>
      <c r="AD29" s="80"/>
    </row>
    <row r="30" spans="1:30">
      <c r="A30" s="30" t="s">
        <v>65</v>
      </c>
      <c r="B30" s="80"/>
      <c r="C30" s="35"/>
      <c r="D30" s="35"/>
      <c r="E30" s="35"/>
      <c r="F30" s="80"/>
      <c r="G30" s="35"/>
      <c r="H30" s="35"/>
      <c r="I30" s="35"/>
      <c r="J30" s="80"/>
      <c r="K30" s="35">
        <v>0</v>
      </c>
      <c r="L30" s="35">
        <v>0</v>
      </c>
      <c r="M30" s="35">
        <v>0</v>
      </c>
      <c r="N30" s="80">
        <v>0</v>
      </c>
      <c r="O30" s="35">
        <v>0</v>
      </c>
      <c r="P30" s="35">
        <v>0</v>
      </c>
      <c r="Q30" s="35">
        <v>0</v>
      </c>
      <c r="R30" s="80">
        <v>0</v>
      </c>
      <c r="S30" s="35">
        <v>0</v>
      </c>
      <c r="T30" s="35">
        <v>0</v>
      </c>
      <c r="U30" s="35">
        <v>0</v>
      </c>
      <c r="V30" s="80">
        <v>0</v>
      </c>
      <c r="W30" s="35">
        <v>0</v>
      </c>
      <c r="X30" s="35">
        <v>0</v>
      </c>
      <c r="Y30" s="35">
        <v>0</v>
      </c>
      <c r="Z30" s="80">
        <v>0</v>
      </c>
      <c r="AA30" s="35">
        <v>0</v>
      </c>
      <c r="AB30" s="35"/>
      <c r="AC30" s="35"/>
      <c r="AD30" s="80"/>
    </row>
    <row r="31" spans="1:30">
      <c r="A31" s="30" t="s">
        <v>66</v>
      </c>
      <c r="B31" s="80">
        <v>-19893.880173836955</v>
      </c>
      <c r="C31" s="35">
        <v>24831.41798118622</v>
      </c>
      <c r="D31" s="35">
        <v>-8879.7880632053893</v>
      </c>
      <c r="E31" s="35">
        <v>-5897.5717745875263</v>
      </c>
      <c r="F31" s="80">
        <v>-38512.351110618321</v>
      </c>
      <c r="G31" s="35">
        <v>9773.6485393038765</v>
      </c>
      <c r="H31" s="35">
        <v>-24505.426175030585</v>
      </c>
      <c r="I31" s="35">
        <v>-21592.174888012185</v>
      </c>
      <c r="J31" s="80">
        <v>-29882.664570596924</v>
      </c>
      <c r="K31" s="35">
        <v>14022.661754209756</v>
      </c>
      <c r="L31" s="35">
        <v>6738.8024756119194</v>
      </c>
      <c r="M31" s="35">
        <v>6209.4429665623538</v>
      </c>
      <c r="N31" s="80">
        <v>-26644.448897908071</v>
      </c>
      <c r="O31" s="35">
        <v>33138.687344403319</v>
      </c>
      <c r="P31" s="35">
        <v>10752.487508261011</v>
      </c>
      <c r="Q31" s="35">
        <v>9156.3357486200621</v>
      </c>
      <c r="R31" s="80">
        <v>-33459.17936329708</v>
      </c>
      <c r="S31" s="35">
        <v>24630.483997573683</v>
      </c>
      <c r="T31" s="35">
        <v>-3281.2404537453931</v>
      </c>
      <c r="U31" s="35">
        <v>-2313.7411565731632</v>
      </c>
      <c r="V31" s="80">
        <v>-12926.465591098522</v>
      </c>
      <c r="W31" s="35">
        <v>20558.13694281003</v>
      </c>
      <c r="X31" s="35">
        <v>5825.1555455045818</v>
      </c>
      <c r="Y31" s="35">
        <v>6065.4148499689018</v>
      </c>
      <c r="Z31" s="80">
        <v>-2289.4237819693803</v>
      </c>
      <c r="AA31" s="35">
        <v>14346.208254355908</v>
      </c>
      <c r="AB31" s="35"/>
      <c r="AC31" s="35"/>
      <c r="AD31" s="80"/>
    </row>
    <row r="32" spans="1:30">
      <c r="A32" s="30" t="s">
        <v>67</v>
      </c>
      <c r="B32" s="80">
        <v>41609.33743312562</v>
      </c>
      <c r="C32" s="35">
        <v>16628.580754199313</v>
      </c>
      <c r="D32" s="35">
        <v>27789.802282421992</v>
      </c>
      <c r="E32" s="35">
        <v>38492.118533441353</v>
      </c>
      <c r="F32" s="80">
        <v>48197.364310618315</v>
      </c>
      <c r="G32" s="35">
        <v>14248.186034354761</v>
      </c>
      <c r="H32" s="35">
        <v>27028.856914876709</v>
      </c>
      <c r="I32" s="35">
        <v>34641.505699848683</v>
      </c>
      <c r="J32" s="80">
        <v>44557.738491863718</v>
      </c>
      <c r="K32" s="35">
        <v>11342.296247616836</v>
      </c>
      <c r="L32" s="35">
        <v>26101.972327621006</v>
      </c>
      <c r="M32" s="35">
        <v>34150.831987409059</v>
      </c>
      <c r="N32" s="80">
        <v>51430</v>
      </c>
      <c r="O32" s="35">
        <v>24477.517065975357</v>
      </c>
      <c r="P32" s="35">
        <v>39266.818622326857</v>
      </c>
      <c r="Q32" s="35">
        <v>45103.879682237974</v>
      </c>
      <c r="R32" s="80">
        <v>56690.323127294279</v>
      </c>
      <c r="S32" s="35">
        <v>13937.841117431537</v>
      </c>
      <c r="T32" s="35">
        <v>30109.198271936792</v>
      </c>
      <c r="U32" s="35">
        <v>29232.163092121242</v>
      </c>
      <c r="V32" s="80">
        <v>34984.104175886911</v>
      </c>
      <c r="W32" s="35">
        <v>14538.09690531132</v>
      </c>
      <c r="X32" s="35">
        <v>16228.294403401967</v>
      </c>
      <c r="Y32" s="35">
        <v>19815.245531345776</v>
      </c>
      <c r="Z32" s="80">
        <v>22973.101103792113</v>
      </c>
      <c r="AA32" s="35">
        <v>12689.67265440663</v>
      </c>
      <c r="AB32" s="35"/>
      <c r="AC32" s="35"/>
      <c r="AD32" s="80"/>
    </row>
    <row r="33" spans="1:30" s="37" customFormat="1">
      <c r="A33" s="33" t="s">
        <v>68</v>
      </c>
      <c r="B33" s="82">
        <f t="shared" ref="B33:Z33" si="6">SUM(B29:B32)</f>
        <v>46371.444059288668</v>
      </c>
      <c r="C33" s="36">
        <f t="shared" si="6"/>
        <v>66115.985535385538</v>
      </c>
      <c r="D33" s="36">
        <f t="shared" si="6"/>
        <v>43566.001019216601</v>
      </c>
      <c r="E33" s="36">
        <f t="shared" si="6"/>
        <v>57250.533558853829</v>
      </c>
      <c r="F33" s="82">
        <f t="shared" si="6"/>
        <v>34341</v>
      </c>
      <c r="G33" s="36">
        <f t="shared" si="6"/>
        <v>48677.82137365864</v>
      </c>
      <c r="H33" s="36">
        <f t="shared" si="6"/>
        <v>27179.417539846127</v>
      </c>
      <c r="I33" s="36">
        <f t="shared" si="6"/>
        <v>37705.317611836501</v>
      </c>
      <c r="J33" s="82">
        <f t="shared" si="6"/>
        <v>39331.060721266796</v>
      </c>
      <c r="K33" s="36">
        <f t="shared" si="6"/>
        <v>50020.944801826598</v>
      </c>
      <c r="L33" s="36">
        <f t="shared" si="6"/>
        <v>57496.761603232924</v>
      </c>
      <c r="M33" s="36">
        <f t="shared" si="6"/>
        <v>65016.261753971412</v>
      </c>
      <c r="N33" s="82">
        <f t="shared" si="6"/>
        <v>49441.537902091928</v>
      </c>
      <c r="O33" s="36">
        <f t="shared" si="6"/>
        <v>82272.191210378674</v>
      </c>
      <c r="P33" s="36">
        <f t="shared" si="6"/>
        <v>74675.292930587864</v>
      </c>
      <c r="Q33" s="36">
        <f t="shared" si="6"/>
        <v>78916.202230858034</v>
      </c>
      <c r="R33" s="82">
        <f t="shared" si="6"/>
        <v>47887.130563997198</v>
      </c>
      <c r="S33" s="36">
        <f t="shared" si="6"/>
        <v>63224.311915005223</v>
      </c>
      <c r="T33" s="36">
        <f t="shared" si="6"/>
        <v>51483.94461819141</v>
      </c>
      <c r="U33" s="36">
        <f t="shared" si="6"/>
        <v>51574.408735548073</v>
      </c>
      <c r="V33" s="82">
        <f t="shared" si="6"/>
        <v>46713.625384788393</v>
      </c>
      <c r="W33" s="36">
        <f t="shared" si="6"/>
        <v>59752.220648121358</v>
      </c>
      <c r="X33" s="36">
        <f t="shared" si="6"/>
        <v>46709.436748906548</v>
      </c>
      <c r="Y33" s="36">
        <f t="shared" si="6"/>
        <v>50536.647181314685</v>
      </c>
      <c r="Z33" s="82">
        <f t="shared" si="6"/>
        <v>45339.664121822731</v>
      </c>
      <c r="AA33" s="36">
        <f t="shared" ref="AA33:AD33" si="7">SUM(AA29:AA32)</f>
        <v>51691.86770876254</v>
      </c>
      <c r="AB33" s="36"/>
      <c r="AC33" s="36"/>
      <c r="AD33" s="82"/>
    </row>
    <row r="34" spans="1:30" ht="9.75" customHeight="1">
      <c r="A34" s="30"/>
      <c r="B34" s="82"/>
      <c r="C34" s="36"/>
      <c r="D34" s="36"/>
      <c r="E34" s="36"/>
      <c r="F34" s="82"/>
      <c r="G34" s="36"/>
      <c r="H34" s="36"/>
      <c r="I34" s="36"/>
      <c r="J34" s="82"/>
      <c r="K34" s="35"/>
      <c r="L34" s="35"/>
      <c r="M34" s="35"/>
      <c r="N34" s="82"/>
      <c r="O34" s="35"/>
      <c r="P34" s="35"/>
      <c r="Q34" s="35"/>
      <c r="R34" s="82"/>
      <c r="S34" s="35"/>
      <c r="T34" s="35"/>
      <c r="U34" s="35"/>
      <c r="V34" s="82"/>
      <c r="W34" s="35"/>
      <c r="X34" s="35"/>
      <c r="Y34" s="35"/>
      <c r="Z34" s="82"/>
      <c r="AA34" s="35"/>
      <c r="AB34" s="35"/>
      <c r="AC34" s="35"/>
      <c r="AD34" s="82"/>
    </row>
    <row r="35" spans="1:30">
      <c r="A35" s="33" t="s">
        <v>207</v>
      </c>
      <c r="B35" s="80"/>
      <c r="C35" s="35"/>
      <c r="D35" s="35"/>
      <c r="E35" s="35"/>
      <c r="F35" s="80"/>
      <c r="G35" s="35"/>
      <c r="H35" s="35"/>
      <c r="I35" s="35"/>
      <c r="J35" s="80"/>
      <c r="K35" s="35"/>
      <c r="L35" s="35"/>
      <c r="M35" s="35"/>
      <c r="N35" s="80"/>
      <c r="O35" s="35"/>
      <c r="P35" s="35"/>
      <c r="Q35" s="35"/>
      <c r="R35" s="80"/>
      <c r="S35" s="35"/>
      <c r="T35" s="35"/>
      <c r="U35" s="35"/>
      <c r="V35" s="80"/>
      <c r="W35" s="35"/>
      <c r="X35" s="35"/>
      <c r="Y35" s="35"/>
      <c r="Z35" s="80"/>
      <c r="AA35" s="35"/>
      <c r="AB35" s="35"/>
      <c r="AC35" s="35"/>
      <c r="AD35" s="80"/>
    </row>
    <row r="36" spans="1:30">
      <c r="A36" s="30" t="s">
        <v>181</v>
      </c>
      <c r="B36" s="80"/>
      <c r="C36" s="35"/>
      <c r="D36" s="35"/>
      <c r="E36" s="35"/>
      <c r="F36" s="80"/>
      <c r="G36" s="35"/>
      <c r="H36" s="35"/>
      <c r="I36" s="35"/>
      <c r="J36" s="80"/>
      <c r="K36" s="35">
        <v>0</v>
      </c>
      <c r="L36" s="35">
        <v>0</v>
      </c>
      <c r="M36" s="35">
        <v>0</v>
      </c>
      <c r="N36" s="80">
        <v>0</v>
      </c>
      <c r="O36" s="35">
        <v>0</v>
      </c>
      <c r="P36" s="35">
        <v>0</v>
      </c>
      <c r="Q36" s="35">
        <v>0</v>
      </c>
      <c r="R36" s="80">
        <v>1023.468</v>
      </c>
      <c r="S36" s="35">
        <v>0</v>
      </c>
      <c r="T36" s="35">
        <v>0</v>
      </c>
      <c r="U36" s="35">
        <v>0</v>
      </c>
      <c r="V36" s="80">
        <v>885.37400000000002</v>
      </c>
      <c r="W36" s="35">
        <v>885.37400000000002</v>
      </c>
      <c r="X36" s="35">
        <v>880.471</v>
      </c>
      <c r="Y36" s="35">
        <v>880.471</v>
      </c>
      <c r="Z36" s="80">
        <v>938.76900000000001</v>
      </c>
      <c r="AA36" s="35">
        <v>938.76900000000001</v>
      </c>
      <c r="AB36" s="35"/>
      <c r="AC36" s="35"/>
      <c r="AD36" s="80"/>
    </row>
    <row r="37" spans="1:30">
      <c r="A37" s="30" t="s">
        <v>69</v>
      </c>
      <c r="B37" s="80">
        <v>1077.2772570064321</v>
      </c>
      <c r="C37" s="35">
        <v>1022.1078134463962</v>
      </c>
      <c r="D37" s="35">
        <v>899.54010817320159</v>
      </c>
      <c r="E37" s="35">
        <v>954.93812748073776</v>
      </c>
      <c r="F37" s="80">
        <v>714.56746669903202</v>
      </c>
      <c r="G37" s="35">
        <v>590.65765212046711</v>
      </c>
      <c r="H37" s="35">
        <v>334.65808730759528</v>
      </c>
      <c r="I37" s="35">
        <v>330.13146247910043</v>
      </c>
      <c r="J37" s="80">
        <v>1944.4686809780653</v>
      </c>
      <c r="K37" s="35">
        <v>1491.1004026931373</v>
      </c>
      <c r="L37" s="35">
        <v>1103.8717177541828</v>
      </c>
      <c r="M37" s="35">
        <v>1310.6498336739942</v>
      </c>
      <c r="N37" s="80">
        <v>1304.462726424</v>
      </c>
      <c r="O37" s="35">
        <v>1405.3916766600003</v>
      </c>
      <c r="P37" s="35">
        <v>1435.0708618400001</v>
      </c>
      <c r="Q37" s="35">
        <v>1069.8161156650001</v>
      </c>
      <c r="R37" s="80">
        <v>758.92112913500023</v>
      </c>
      <c r="S37" s="35">
        <v>395.79270257499996</v>
      </c>
      <c r="T37" s="35">
        <v>2.7528245749998672</v>
      </c>
      <c r="U37" s="35">
        <v>-5.2940250001369572E-3</v>
      </c>
      <c r="V37" s="80">
        <v>-5.307750000137312E-3</v>
      </c>
      <c r="W37" s="35">
        <v>0</v>
      </c>
      <c r="X37" s="35">
        <v>0</v>
      </c>
      <c r="Y37" s="35">
        <v>0</v>
      </c>
      <c r="Z37" s="80">
        <v>0</v>
      </c>
      <c r="AA37" s="35">
        <v>0</v>
      </c>
      <c r="AB37" s="35"/>
      <c r="AC37" s="35"/>
      <c r="AD37" s="80"/>
    </row>
    <row r="38" spans="1:30">
      <c r="A38" s="30" t="s">
        <v>149</v>
      </c>
      <c r="B38" s="80"/>
      <c r="C38" s="35"/>
      <c r="D38" s="35"/>
      <c r="E38" s="35"/>
      <c r="F38" s="80"/>
      <c r="G38" s="35"/>
      <c r="H38" s="35"/>
      <c r="I38" s="35"/>
      <c r="J38" s="80"/>
      <c r="K38" s="35">
        <v>0</v>
      </c>
      <c r="L38" s="35">
        <v>0</v>
      </c>
      <c r="M38" s="35">
        <v>0</v>
      </c>
      <c r="N38" s="80">
        <v>0</v>
      </c>
      <c r="O38" s="35">
        <v>0</v>
      </c>
      <c r="P38" s="35">
        <v>0</v>
      </c>
      <c r="Q38" s="35">
        <v>4000</v>
      </c>
      <c r="R38" s="80">
        <v>3750</v>
      </c>
      <c r="S38" s="35">
        <v>3500</v>
      </c>
      <c r="T38" s="35">
        <v>3250</v>
      </c>
      <c r="U38" s="35">
        <v>3000</v>
      </c>
      <c r="V38" s="80">
        <v>2750</v>
      </c>
      <c r="W38" s="35">
        <v>2500</v>
      </c>
      <c r="X38" s="35">
        <v>2250</v>
      </c>
      <c r="Y38" s="35">
        <v>2000</v>
      </c>
      <c r="Z38" s="80">
        <v>1750</v>
      </c>
      <c r="AA38" s="35">
        <v>1500</v>
      </c>
      <c r="AB38" s="35"/>
      <c r="AC38" s="35"/>
      <c r="AD38" s="80"/>
    </row>
    <row r="39" spans="1:30">
      <c r="A39" s="30" t="s">
        <v>70</v>
      </c>
      <c r="B39" s="80">
        <v>35577.300676356579</v>
      </c>
      <c r="C39" s="35">
        <v>33127.671360995795</v>
      </c>
      <c r="D39" s="35">
        <v>35585.783006543883</v>
      </c>
      <c r="E39" s="35">
        <v>29718.14010412764</v>
      </c>
      <c r="F39" s="80">
        <v>24961.699773605647</v>
      </c>
      <c r="G39" s="35">
        <v>18759.465074714713</v>
      </c>
      <c r="H39" s="35">
        <v>16739.698975325922</v>
      </c>
      <c r="I39" s="35">
        <v>18606.845901328466</v>
      </c>
      <c r="J39" s="80">
        <v>20035.708410783966</v>
      </c>
      <c r="K39" s="35">
        <v>17625.044989553047</v>
      </c>
      <c r="L39" s="35">
        <v>16667.651973178392</v>
      </c>
      <c r="M39" s="35">
        <v>15040.31331531813</v>
      </c>
      <c r="N39" s="80">
        <v>20419.655804449445</v>
      </c>
      <c r="O39" s="35">
        <v>18900.117041382473</v>
      </c>
      <c r="P39" s="35">
        <v>58631.471462453803</v>
      </c>
      <c r="Q39" s="35">
        <v>62252.750903798711</v>
      </c>
      <c r="R39" s="80">
        <v>63613.411779411734</v>
      </c>
      <c r="S39" s="35">
        <v>60551.253130422003</v>
      </c>
      <c r="T39" s="35">
        <v>56860.930610919568</v>
      </c>
      <c r="U39" s="35">
        <v>53139.351879744499</v>
      </c>
      <c r="V39" s="80">
        <v>49835.422817639934</v>
      </c>
      <c r="W39" s="35">
        <v>46650.061599143453</v>
      </c>
      <c r="X39" s="35">
        <v>43302.063350860641</v>
      </c>
      <c r="Y39" s="35">
        <v>39964.370144336892</v>
      </c>
      <c r="Z39" s="80">
        <v>41392.483363580832</v>
      </c>
      <c r="AA39" s="35">
        <v>37001.525175620933</v>
      </c>
      <c r="AB39" s="35"/>
      <c r="AC39" s="35"/>
      <c r="AD39" s="80"/>
    </row>
    <row r="40" spans="1:30" ht="9.75" customHeight="1">
      <c r="A40" s="30"/>
      <c r="B40" s="82"/>
      <c r="C40" s="36"/>
      <c r="D40" s="36"/>
      <c r="E40" s="36"/>
      <c r="F40" s="82"/>
      <c r="G40" s="36"/>
      <c r="H40" s="36"/>
      <c r="I40" s="36"/>
      <c r="J40" s="82"/>
      <c r="K40" s="35"/>
      <c r="L40" s="35"/>
      <c r="M40" s="35"/>
      <c r="N40" s="82"/>
      <c r="O40" s="35"/>
      <c r="P40" s="35"/>
      <c r="Q40" s="35"/>
      <c r="R40" s="82"/>
      <c r="S40" s="35"/>
      <c r="T40" s="35"/>
      <c r="U40" s="35"/>
      <c r="V40" s="82"/>
      <c r="W40" s="35"/>
      <c r="X40" s="35"/>
      <c r="Y40" s="35"/>
      <c r="Z40" s="82"/>
      <c r="AA40" s="35"/>
      <c r="AB40" s="35"/>
      <c r="AC40" s="35"/>
      <c r="AD40" s="82"/>
    </row>
    <row r="41" spans="1:30" s="37" customFormat="1">
      <c r="A41" s="33" t="s">
        <v>208</v>
      </c>
      <c r="B41" s="82">
        <f t="shared" ref="B41:Z41" si="8">SUM(B36:B39)</f>
        <v>36654.577933363013</v>
      </c>
      <c r="C41" s="36">
        <f t="shared" si="8"/>
        <v>34149.779174442192</v>
      </c>
      <c r="D41" s="36">
        <f t="shared" si="8"/>
        <v>36485.323114717088</v>
      </c>
      <c r="E41" s="36">
        <f t="shared" si="8"/>
        <v>30673.078231608379</v>
      </c>
      <c r="F41" s="82">
        <f t="shared" si="8"/>
        <v>25676.267240304678</v>
      </c>
      <c r="G41" s="36">
        <f t="shared" si="8"/>
        <v>19350.122726835179</v>
      </c>
      <c r="H41" s="36">
        <f t="shared" si="8"/>
        <v>17074.357062633517</v>
      </c>
      <c r="I41" s="36">
        <f t="shared" si="8"/>
        <v>18936.977363807568</v>
      </c>
      <c r="J41" s="82">
        <f t="shared" si="8"/>
        <v>21980.177091762031</v>
      </c>
      <c r="K41" s="36">
        <f t="shared" si="8"/>
        <v>19116.145392246184</v>
      </c>
      <c r="L41" s="36">
        <f t="shared" si="8"/>
        <v>17771.523690932576</v>
      </c>
      <c r="M41" s="36">
        <f t="shared" si="8"/>
        <v>16350.963148992123</v>
      </c>
      <c r="N41" s="82">
        <f t="shared" si="8"/>
        <v>21724.118530873446</v>
      </c>
      <c r="O41" s="36">
        <f t="shared" si="8"/>
        <v>20305.508718042474</v>
      </c>
      <c r="P41" s="36">
        <f t="shared" si="8"/>
        <v>60066.542324293805</v>
      </c>
      <c r="Q41" s="36">
        <f t="shared" si="8"/>
        <v>67322.567019463706</v>
      </c>
      <c r="R41" s="82">
        <f t="shared" si="8"/>
        <v>69145.800908546735</v>
      </c>
      <c r="S41" s="36">
        <f t="shared" si="8"/>
        <v>64447.045832997006</v>
      </c>
      <c r="T41" s="36">
        <f t="shared" si="8"/>
        <v>60113.683435494568</v>
      </c>
      <c r="U41" s="36">
        <f t="shared" si="8"/>
        <v>56139.346585719497</v>
      </c>
      <c r="V41" s="82">
        <f t="shared" si="8"/>
        <v>53470.791509889932</v>
      </c>
      <c r="W41" s="36">
        <f t="shared" si="8"/>
        <v>50035.435599143457</v>
      </c>
      <c r="X41" s="36">
        <f t="shared" si="8"/>
        <v>46432.534350860638</v>
      </c>
      <c r="Y41" s="36">
        <f t="shared" si="8"/>
        <v>42844.84114433689</v>
      </c>
      <c r="Z41" s="82">
        <f t="shared" si="8"/>
        <v>44081.252363580832</v>
      </c>
      <c r="AA41" s="36">
        <f t="shared" ref="AA41:AD41" si="9">SUM(AA36:AA39)</f>
        <v>39440.294175620933</v>
      </c>
      <c r="AB41" s="36"/>
      <c r="AC41" s="36"/>
      <c r="AD41" s="82"/>
    </row>
    <row r="42" spans="1:30">
      <c r="A42" s="30" t="s">
        <v>72</v>
      </c>
      <c r="B42" s="80"/>
      <c r="C42" s="35"/>
      <c r="D42" s="35"/>
      <c r="E42" s="35"/>
      <c r="F42" s="80"/>
      <c r="G42" s="35"/>
      <c r="H42" s="35"/>
      <c r="I42" s="35"/>
      <c r="J42" s="80"/>
      <c r="K42" s="35"/>
      <c r="L42" s="35"/>
      <c r="M42" s="35"/>
      <c r="N42" s="80"/>
      <c r="O42" s="35"/>
      <c r="P42" s="35"/>
      <c r="Q42" s="35"/>
      <c r="R42" s="80"/>
      <c r="S42" s="35"/>
      <c r="T42" s="35"/>
      <c r="U42" s="35"/>
      <c r="V42" s="80"/>
      <c r="W42" s="35"/>
      <c r="X42" s="35"/>
      <c r="Y42" s="35"/>
      <c r="Z42" s="80"/>
      <c r="AA42" s="35"/>
      <c r="AB42" s="35"/>
      <c r="AC42" s="35"/>
      <c r="AD42" s="80"/>
    </row>
    <row r="43" spans="1:30">
      <c r="A43" s="30" t="s">
        <v>73</v>
      </c>
      <c r="B43" s="80">
        <v>23838.141863043795</v>
      </c>
      <c r="C43" s="35">
        <v>14832.69681317733</v>
      </c>
      <c r="D43" s="35">
        <v>16933.458136172736</v>
      </c>
      <c r="E43" s="35">
        <v>16633.599290678681</v>
      </c>
      <c r="F43" s="80">
        <v>23168.793994938442</v>
      </c>
      <c r="G43" s="35">
        <v>21344.882624287598</v>
      </c>
      <c r="H43" s="35">
        <v>28095.731035024677</v>
      </c>
      <c r="I43" s="35">
        <v>21415.660299748622</v>
      </c>
      <c r="J43" s="80">
        <v>18846.025974360971</v>
      </c>
      <c r="K43" s="35">
        <v>15939.127736104485</v>
      </c>
      <c r="L43" s="35">
        <v>19207.229134609206</v>
      </c>
      <c r="M43" s="35">
        <v>22045.321335437256</v>
      </c>
      <c r="N43" s="80">
        <v>16759.539318083767</v>
      </c>
      <c r="O43" s="35">
        <v>15310.63611450902</v>
      </c>
      <c r="P43" s="35">
        <v>17824.87578753482</v>
      </c>
      <c r="Q43" s="35">
        <v>16012.326672971185</v>
      </c>
      <c r="R43" s="80">
        <v>18288.353392875735</v>
      </c>
      <c r="S43" s="35">
        <v>18240.027262439715</v>
      </c>
      <c r="T43" s="35">
        <v>18773.563108869108</v>
      </c>
      <c r="U43" s="35">
        <v>15468.078359464091</v>
      </c>
      <c r="V43" s="80">
        <v>20153.169157898985</v>
      </c>
      <c r="W43" s="35">
        <v>16717.83973425574</v>
      </c>
      <c r="X43" s="35">
        <v>19957.468981098791</v>
      </c>
      <c r="Y43" s="35">
        <v>17185.800196138451</v>
      </c>
      <c r="Z43" s="80">
        <v>17669.235664051856</v>
      </c>
      <c r="AA43" s="35">
        <v>14994.485409494071</v>
      </c>
      <c r="AB43" s="35"/>
      <c r="AC43" s="35"/>
      <c r="AD43" s="80"/>
    </row>
    <row r="44" spans="1:30">
      <c r="A44" s="30" t="s">
        <v>74</v>
      </c>
      <c r="B44" s="80">
        <v>10880.124315716745</v>
      </c>
      <c r="C44" s="35">
        <v>10881.30772464337</v>
      </c>
      <c r="D44" s="35">
        <v>13836.826095347897</v>
      </c>
      <c r="E44" s="35">
        <v>12708.603751869396</v>
      </c>
      <c r="F44" s="80">
        <v>12733.45</v>
      </c>
      <c r="G44" s="35">
        <v>6361.6192389663211</v>
      </c>
      <c r="H44" s="35">
        <v>9776.1581575907021</v>
      </c>
      <c r="I44" s="35">
        <v>9365.0380308034182</v>
      </c>
      <c r="J44" s="80">
        <v>7277.9038855901763</v>
      </c>
      <c r="K44" s="35">
        <v>2163.2456399369476</v>
      </c>
      <c r="L44" s="35">
        <v>4532.1365954991215</v>
      </c>
      <c r="M44" s="35">
        <v>11435.095599025826</v>
      </c>
      <c r="N44" s="80">
        <v>12112.103079678633</v>
      </c>
      <c r="O44" s="35">
        <v>11522.177854101697</v>
      </c>
      <c r="P44" s="35">
        <v>11929.220505622292</v>
      </c>
      <c r="Q44" s="35">
        <v>14478.147065571353</v>
      </c>
      <c r="R44" s="80">
        <v>12183.212031158855</v>
      </c>
      <c r="S44" s="35">
        <v>8882.0744427664777</v>
      </c>
      <c r="T44" s="35">
        <v>8634.5507741800793</v>
      </c>
      <c r="U44" s="35">
        <v>8141.5038471075586</v>
      </c>
      <c r="V44" s="80">
        <v>7340.3380781934538</v>
      </c>
      <c r="W44" s="35">
        <v>6805.8798898927234</v>
      </c>
      <c r="X44" s="35">
        <v>7033.480080765019</v>
      </c>
      <c r="Y44" s="35">
        <v>8476.4726150169736</v>
      </c>
      <c r="Z44" s="80">
        <v>4324.9360651416664</v>
      </c>
      <c r="AA44" s="35">
        <v>5753.9711950701585</v>
      </c>
      <c r="AB44" s="35"/>
      <c r="AC44" s="35"/>
      <c r="AD44" s="80"/>
    </row>
    <row r="45" spans="1:30">
      <c r="A45" s="30" t="s">
        <v>75</v>
      </c>
      <c r="B45" s="80">
        <v>32778.722809052131</v>
      </c>
      <c r="C45" s="35">
        <v>40177.884550566516</v>
      </c>
      <c r="D45" s="35">
        <v>47513.551276869744</v>
      </c>
      <c r="E45" s="35">
        <v>40045.244864862943</v>
      </c>
      <c r="F45" s="80">
        <v>37665.250721118937</v>
      </c>
      <c r="G45" s="35">
        <v>41350.994669561296</v>
      </c>
      <c r="H45" s="35">
        <v>31905.98767120819</v>
      </c>
      <c r="I45" s="35">
        <v>36866.559303288872</v>
      </c>
      <c r="J45" s="80">
        <v>37136.240414092652</v>
      </c>
      <c r="K45" s="35">
        <v>50446.99524375052</v>
      </c>
      <c r="L45" s="35">
        <v>36970.658202783881</v>
      </c>
      <c r="M45" s="35">
        <v>42515.939869325877</v>
      </c>
      <c r="N45" s="80">
        <v>47828.18495883244</v>
      </c>
      <c r="O45" s="35">
        <v>68980.460431816304</v>
      </c>
      <c r="P45" s="35">
        <v>49576.17930867253</v>
      </c>
      <c r="Q45" s="35">
        <v>54209.774765042021</v>
      </c>
      <c r="R45" s="80">
        <v>58502.765652194816</v>
      </c>
      <c r="S45" s="35">
        <v>68070.954937054994</v>
      </c>
      <c r="T45" s="35">
        <v>48824.353378963002</v>
      </c>
      <c r="U45" s="35">
        <v>51200.083828646406</v>
      </c>
      <c r="V45" s="80">
        <v>54729.348750204845</v>
      </c>
      <c r="W45" s="35">
        <v>66735.634489928576</v>
      </c>
      <c r="X45" s="35">
        <v>44553.482075547057</v>
      </c>
      <c r="Y45" s="35">
        <v>49343.298980099651</v>
      </c>
      <c r="Z45" s="80">
        <v>53812.312717360532</v>
      </c>
      <c r="AA45" s="35">
        <v>49065.378682406008</v>
      </c>
      <c r="AB45" s="35"/>
      <c r="AC45" s="35"/>
      <c r="AD45" s="80"/>
    </row>
    <row r="46" spans="1:30">
      <c r="A46" s="30" t="s">
        <v>76</v>
      </c>
      <c r="B46" s="80">
        <v>21264.225380761389</v>
      </c>
      <c r="C46" s="35">
        <v>24799.160647849862</v>
      </c>
      <c r="D46" s="35">
        <v>24416.134344938335</v>
      </c>
      <c r="E46" s="35">
        <v>20099.688792026809</v>
      </c>
      <c r="F46" s="80">
        <v>30041.49</v>
      </c>
      <c r="G46" s="35">
        <v>24360.254239987087</v>
      </c>
      <c r="H46" s="35">
        <v>24089.544823292221</v>
      </c>
      <c r="I46" s="35">
        <v>20243.222145830703</v>
      </c>
      <c r="J46" s="80">
        <v>18318.044344181173</v>
      </c>
      <c r="K46" s="35">
        <v>22516.984065165641</v>
      </c>
      <c r="L46" s="35">
        <v>21107.421251646108</v>
      </c>
      <c r="M46" s="35">
        <v>16773.136468734585</v>
      </c>
      <c r="N46" s="80">
        <v>14840.188475823055</v>
      </c>
      <c r="O46" s="35">
        <v>21108.201822911527</v>
      </c>
      <c r="P46" s="35">
        <v>18063.377360000006</v>
      </c>
      <c r="Q46" s="35">
        <v>18602.036280000004</v>
      </c>
      <c r="R46" s="80">
        <v>14291.530755546006</v>
      </c>
      <c r="S46" s="35">
        <v>22230.034631968003</v>
      </c>
      <c r="T46" s="35">
        <v>21343.797407039998</v>
      </c>
      <c r="U46" s="35">
        <v>17198.38939</v>
      </c>
      <c r="V46" s="80">
        <v>15283.156094152</v>
      </c>
      <c r="W46" s="35">
        <v>5892.5923271040001</v>
      </c>
      <c r="X46" s="35">
        <v>20829.584182944003</v>
      </c>
      <c r="Y46" s="35">
        <v>17358.928259999997</v>
      </c>
      <c r="Z46" s="80">
        <v>31306.411630000002</v>
      </c>
      <c r="AA46" s="35">
        <v>27641.396635600002</v>
      </c>
      <c r="AB46" s="35"/>
      <c r="AC46" s="35"/>
      <c r="AD46" s="80"/>
    </row>
    <row r="47" spans="1:30">
      <c r="A47" s="30" t="s">
        <v>137</v>
      </c>
      <c r="B47" s="80">
        <v>19400.164290592355</v>
      </c>
      <c r="C47" s="35">
        <v>20498.801197644498</v>
      </c>
      <c r="D47" s="35">
        <v>19628.79654430506</v>
      </c>
      <c r="E47" s="35">
        <v>18353.350080932956</v>
      </c>
      <c r="F47" s="80">
        <v>17635.507597231477</v>
      </c>
      <c r="G47" s="35">
        <v>15729.19487720753</v>
      </c>
      <c r="H47" s="35">
        <v>15975.505855049594</v>
      </c>
      <c r="I47" s="35">
        <v>17804.218421736339</v>
      </c>
      <c r="J47" s="80">
        <v>15163.002559797458</v>
      </c>
      <c r="K47" s="35">
        <v>13504.69371237011</v>
      </c>
      <c r="L47" s="35">
        <v>12508.645878371346</v>
      </c>
      <c r="M47" s="35">
        <v>10270.598496415987</v>
      </c>
      <c r="N47" s="80">
        <v>9174.8066862496253</v>
      </c>
      <c r="O47" s="35">
        <v>7604.0027751543148</v>
      </c>
      <c r="P47" s="35">
        <v>11970.906845143505</v>
      </c>
      <c r="Q47" s="35">
        <v>13390.712117573499</v>
      </c>
      <c r="R47" s="80">
        <v>13873.878512058624</v>
      </c>
      <c r="S47" s="35">
        <v>13828.243535810239</v>
      </c>
      <c r="T47" s="35">
        <v>14244.429551850095</v>
      </c>
      <c r="U47" s="35">
        <v>14679.835642179616</v>
      </c>
      <c r="V47" s="80">
        <v>14600.211092292204</v>
      </c>
      <c r="W47" s="35">
        <v>14091.743520737655</v>
      </c>
      <c r="X47" s="35">
        <v>13695.430268348746</v>
      </c>
      <c r="Y47" s="35">
        <v>13147.637475793705</v>
      </c>
      <c r="Z47" s="80">
        <v>15245.658060101159</v>
      </c>
      <c r="AA47" s="35">
        <v>15221.616011240259</v>
      </c>
      <c r="AB47" s="35"/>
      <c r="AC47" s="35"/>
      <c r="AD47" s="80"/>
    </row>
    <row r="48" spans="1:30">
      <c r="A48" s="30" t="s">
        <v>150</v>
      </c>
      <c r="B48" s="80"/>
      <c r="C48" s="35"/>
      <c r="D48" s="35"/>
      <c r="E48" s="35"/>
      <c r="F48" s="80"/>
      <c r="G48" s="35"/>
      <c r="H48" s="35"/>
      <c r="I48" s="35"/>
      <c r="J48" s="80"/>
      <c r="K48" s="35">
        <v>0</v>
      </c>
      <c r="L48" s="35">
        <v>0</v>
      </c>
      <c r="M48" s="35">
        <v>0</v>
      </c>
      <c r="N48" s="80">
        <v>0</v>
      </c>
      <c r="O48" s="35">
        <v>0</v>
      </c>
      <c r="P48" s="35">
        <v>0</v>
      </c>
      <c r="Q48" s="35">
        <v>1000</v>
      </c>
      <c r="R48" s="80">
        <v>1000</v>
      </c>
      <c r="S48" s="35">
        <v>1000</v>
      </c>
      <c r="T48" s="35">
        <v>1000</v>
      </c>
      <c r="U48" s="35">
        <v>1000</v>
      </c>
      <c r="V48" s="80">
        <v>1000</v>
      </c>
      <c r="W48" s="35">
        <v>1000</v>
      </c>
      <c r="X48" s="35">
        <v>1000</v>
      </c>
      <c r="Y48" s="35">
        <v>1000</v>
      </c>
      <c r="Z48" s="80">
        <v>1000</v>
      </c>
      <c r="AA48" s="35">
        <v>1000</v>
      </c>
      <c r="AB48" s="35"/>
      <c r="AC48" s="35"/>
      <c r="AD48" s="80"/>
    </row>
    <row r="49" spans="1:30">
      <c r="A49" s="30" t="s">
        <v>138</v>
      </c>
      <c r="B49" s="80">
        <v>50043.571362666517</v>
      </c>
      <c r="C49" s="35">
        <v>47079.175248547523</v>
      </c>
      <c r="D49" s="35">
        <v>32312.1232698944</v>
      </c>
      <c r="E49" s="35">
        <v>43669.676600241779</v>
      </c>
      <c r="F49" s="80">
        <v>43167</v>
      </c>
      <c r="G49" s="35">
        <v>49068.25104668003</v>
      </c>
      <c r="H49" s="35">
        <v>65767.486043482873</v>
      </c>
      <c r="I49" s="35">
        <v>56397.555569948025</v>
      </c>
      <c r="J49" s="80">
        <f>63078.0425382866+0.05</f>
        <v>63078.092538286604</v>
      </c>
      <c r="K49" s="35">
        <v>54293.080908842865</v>
      </c>
      <c r="L49" s="35">
        <v>61069.142374185307</v>
      </c>
      <c r="M49" s="35">
        <v>55366.236360593684</v>
      </c>
      <c r="N49" s="80">
        <v>61890.863849752488</v>
      </c>
      <c r="O49" s="35">
        <v>58062.546518431416</v>
      </c>
      <c r="P49" s="35">
        <v>74181.185554786149</v>
      </c>
      <c r="Q49" s="35">
        <v>60697.380275500647</v>
      </c>
      <c r="R49" s="80">
        <v>64025.618450171045</v>
      </c>
      <c r="S49" s="35">
        <v>62390.737319409156</v>
      </c>
      <c r="T49" s="35">
        <v>67785.371004950706</v>
      </c>
      <c r="U49" s="35">
        <v>59957.550748312424</v>
      </c>
      <c r="V49" s="80">
        <v>65399.815201190358</v>
      </c>
      <c r="W49" s="35">
        <v>78311.074584423375</v>
      </c>
      <c r="X49" s="35">
        <v>63675.667305675255</v>
      </c>
      <c r="Y49" s="35">
        <v>52248.148649796494</v>
      </c>
      <c r="Z49" s="80">
        <v>58327.579280953476</v>
      </c>
      <c r="AA49" s="35">
        <v>54127.651334435606</v>
      </c>
      <c r="AB49" s="35"/>
      <c r="AC49" s="35"/>
      <c r="AD49" s="80"/>
    </row>
    <row r="50" spans="1:30" s="37" customFormat="1">
      <c r="A50" s="33" t="s">
        <v>77</v>
      </c>
      <c r="B50" s="82">
        <f t="shared" ref="B50:Z50" si="10">SUM(B43:B49)</f>
        <v>158204.95002183292</v>
      </c>
      <c r="C50" s="36">
        <f t="shared" si="10"/>
        <v>158269.02618242911</v>
      </c>
      <c r="D50" s="36">
        <f t="shared" si="10"/>
        <v>154640.88966752819</v>
      </c>
      <c r="E50" s="36">
        <f t="shared" si="10"/>
        <v>151510.16338061256</v>
      </c>
      <c r="F50" s="82">
        <f t="shared" si="10"/>
        <v>164411.49231328885</v>
      </c>
      <c r="G50" s="36">
        <f t="shared" si="10"/>
        <v>158215.19669668988</v>
      </c>
      <c r="H50" s="36">
        <f t="shared" si="10"/>
        <v>175610.41358564823</v>
      </c>
      <c r="I50" s="36">
        <f t="shared" si="10"/>
        <v>162092.25377135599</v>
      </c>
      <c r="J50" s="82">
        <f t="shared" si="10"/>
        <v>159819.30971630904</v>
      </c>
      <c r="K50" s="36">
        <f t="shared" si="10"/>
        <v>158864.12730617059</v>
      </c>
      <c r="L50" s="36">
        <f t="shared" si="10"/>
        <v>155395.23343709495</v>
      </c>
      <c r="M50" s="36">
        <f t="shared" si="10"/>
        <v>158406.32812953321</v>
      </c>
      <c r="N50" s="82">
        <f t="shared" si="10"/>
        <v>162605.68636842002</v>
      </c>
      <c r="O50" s="36">
        <f t="shared" si="10"/>
        <v>182588.02551692427</v>
      </c>
      <c r="P50" s="36">
        <f t="shared" si="10"/>
        <v>183545.7453617593</v>
      </c>
      <c r="Q50" s="36">
        <f t="shared" si="10"/>
        <v>178390.37717665872</v>
      </c>
      <c r="R50" s="82">
        <f t="shared" si="10"/>
        <v>182165.35879400506</v>
      </c>
      <c r="S50" s="36">
        <f t="shared" si="10"/>
        <v>194642.07212944858</v>
      </c>
      <c r="T50" s="36">
        <f t="shared" si="10"/>
        <v>180606.065225853</v>
      </c>
      <c r="U50" s="36">
        <f t="shared" si="10"/>
        <v>167645.4418157101</v>
      </c>
      <c r="V50" s="82">
        <f t="shared" si="10"/>
        <v>178506.03837393183</v>
      </c>
      <c r="W50" s="36">
        <f t="shared" si="10"/>
        <v>189554.76454634208</v>
      </c>
      <c r="X50" s="36">
        <f t="shared" si="10"/>
        <v>170745.11289437886</v>
      </c>
      <c r="Y50" s="36">
        <f t="shared" si="10"/>
        <v>158760.28617684526</v>
      </c>
      <c r="Z50" s="82">
        <f t="shared" si="10"/>
        <v>181686.13341760868</v>
      </c>
      <c r="AA50" s="36">
        <f t="shared" ref="AA50:AD50" si="11">SUM(AA43:AA49)</f>
        <v>167804.49926824612</v>
      </c>
      <c r="AB50" s="36"/>
      <c r="AC50" s="36"/>
      <c r="AD50" s="82"/>
    </row>
    <row r="51" spans="1:30">
      <c r="A51" s="33"/>
      <c r="B51" s="82"/>
      <c r="C51" s="36"/>
      <c r="D51" s="36"/>
      <c r="E51" s="36"/>
      <c r="F51" s="82"/>
      <c r="G51" s="36"/>
      <c r="H51" s="36"/>
      <c r="I51" s="36"/>
      <c r="J51" s="82"/>
      <c r="K51" s="36"/>
      <c r="L51" s="36"/>
      <c r="M51" s="36"/>
      <c r="N51" s="82"/>
      <c r="O51" s="36"/>
      <c r="P51" s="36"/>
      <c r="Q51" s="36"/>
      <c r="R51" s="82"/>
      <c r="S51" s="36"/>
      <c r="T51" s="36"/>
      <c r="U51" s="36"/>
      <c r="V51" s="82"/>
      <c r="W51" s="36"/>
      <c r="X51" s="36"/>
      <c r="Y51" s="36"/>
      <c r="Z51" s="82"/>
      <c r="AA51" s="36"/>
      <c r="AB51" s="36"/>
      <c r="AC51" s="36"/>
      <c r="AD51" s="82"/>
    </row>
    <row r="52" spans="1:30">
      <c r="A52" s="33" t="s">
        <v>78</v>
      </c>
      <c r="B52" s="82">
        <f t="shared" ref="B52:Z52" si="12">SUM(B50,B41)</f>
        <v>194859.52795519592</v>
      </c>
      <c r="C52" s="36">
        <f t="shared" si="12"/>
        <v>192418.80535687131</v>
      </c>
      <c r="D52" s="36">
        <f t="shared" si="12"/>
        <v>191126.21278224527</v>
      </c>
      <c r="E52" s="36">
        <f t="shared" si="12"/>
        <v>182183.24161222094</v>
      </c>
      <c r="F52" s="82">
        <f t="shared" si="12"/>
        <v>190087.75955359353</v>
      </c>
      <c r="G52" s="36">
        <f t="shared" si="12"/>
        <v>177565.31942352507</v>
      </c>
      <c r="H52" s="36">
        <f t="shared" si="12"/>
        <v>192684.77064828176</v>
      </c>
      <c r="I52" s="36">
        <f t="shared" si="12"/>
        <v>181029.23113516354</v>
      </c>
      <c r="J52" s="82">
        <f t="shared" si="12"/>
        <v>181799.48680807109</v>
      </c>
      <c r="K52" s="36">
        <f t="shared" si="12"/>
        <v>177980.27269841678</v>
      </c>
      <c r="L52" s="36">
        <f t="shared" si="12"/>
        <v>173166.75712802753</v>
      </c>
      <c r="M52" s="36">
        <f t="shared" si="12"/>
        <v>174757.29127852534</v>
      </c>
      <c r="N52" s="82">
        <f t="shared" si="12"/>
        <v>184329.80489929346</v>
      </c>
      <c r="O52" s="36">
        <f t="shared" si="12"/>
        <v>202893.53423496673</v>
      </c>
      <c r="P52" s="36">
        <f t="shared" si="12"/>
        <v>243612.28768605311</v>
      </c>
      <c r="Q52" s="36">
        <f t="shared" si="12"/>
        <v>245712.94419612241</v>
      </c>
      <c r="R52" s="82">
        <f t="shared" si="12"/>
        <v>251311.15970255178</v>
      </c>
      <c r="S52" s="36">
        <f t="shared" si="12"/>
        <v>259089.1179624456</v>
      </c>
      <c r="T52" s="36">
        <f t="shared" si="12"/>
        <v>240719.74866134758</v>
      </c>
      <c r="U52" s="36">
        <f t="shared" si="12"/>
        <v>223784.7884014296</v>
      </c>
      <c r="V52" s="82">
        <f t="shared" si="12"/>
        <v>231976.82988382177</v>
      </c>
      <c r="W52" s="36">
        <f t="shared" si="12"/>
        <v>239590.20014548552</v>
      </c>
      <c r="X52" s="36">
        <f t="shared" si="12"/>
        <v>217177.6472452395</v>
      </c>
      <c r="Y52" s="36">
        <f t="shared" si="12"/>
        <v>201605.12732118214</v>
      </c>
      <c r="Z52" s="82">
        <f t="shared" si="12"/>
        <v>225767.38578118951</v>
      </c>
      <c r="AA52" s="36">
        <f t="shared" ref="AA52:AD52" si="13">SUM(AA50,AA41)</f>
        <v>207244.79344386706</v>
      </c>
      <c r="AB52" s="36"/>
      <c r="AC52" s="36"/>
      <c r="AD52" s="82"/>
    </row>
    <row r="53" spans="1:30">
      <c r="A53" s="30"/>
      <c r="B53" s="83"/>
      <c r="C53" s="38"/>
      <c r="D53" s="38"/>
      <c r="E53" s="38"/>
      <c r="F53" s="83"/>
      <c r="G53" s="38"/>
      <c r="H53" s="38"/>
      <c r="I53" s="38"/>
      <c r="J53" s="83"/>
      <c r="K53" s="40"/>
      <c r="L53" s="40"/>
      <c r="M53" s="40"/>
      <c r="N53" s="83"/>
      <c r="O53" s="40"/>
      <c r="P53" s="40"/>
      <c r="Q53" s="40"/>
      <c r="R53" s="83"/>
      <c r="S53" s="40"/>
      <c r="T53" s="40"/>
      <c r="U53" s="40"/>
      <c r="V53" s="83"/>
      <c r="W53" s="40"/>
      <c r="X53" s="40"/>
      <c r="Y53" s="40"/>
      <c r="Z53" s="83"/>
      <c r="AA53" s="40"/>
      <c r="AB53" s="40"/>
      <c r="AC53" s="40"/>
      <c r="AD53" s="83"/>
    </row>
    <row r="54" spans="1:30" s="41" customFormat="1">
      <c r="A54" s="39" t="s">
        <v>79</v>
      </c>
      <c r="B54" s="82">
        <f t="shared" ref="B54:Z54" si="14">SUM(B52,B33)</f>
        <v>241230.97201448458</v>
      </c>
      <c r="C54" s="36">
        <f t="shared" si="14"/>
        <v>258534.79089225683</v>
      </c>
      <c r="D54" s="36">
        <f t="shared" si="14"/>
        <v>234692.21380146188</v>
      </c>
      <c r="E54" s="36">
        <f t="shared" si="14"/>
        <v>239433.77517107478</v>
      </c>
      <c r="F54" s="82">
        <f t="shared" si="14"/>
        <v>224428.75955359353</v>
      </c>
      <c r="G54" s="36">
        <f t="shared" si="14"/>
        <v>226243.1407971837</v>
      </c>
      <c r="H54" s="36">
        <f t="shared" si="14"/>
        <v>219864.18818812788</v>
      </c>
      <c r="I54" s="36">
        <f t="shared" si="14"/>
        <v>218734.54874700005</v>
      </c>
      <c r="J54" s="82">
        <f t="shared" si="14"/>
        <v>221130.54752933787</v>
      </c>
      <c r="K54" s="36">
        <f t="shared" si="14"/>
        <v>228001.21750024339</v>
      </c>
      <c r="L54" s="36">
        <f t="shared" si="14"/>
        <v>230663.51873126044</v>
      </c>
      <c r="M54" s="36">
        <f t="shared" si="14"/>
        <v>239773.55303249677</v>
      </c>
      <c r="N54" s="82">
        <f t="shared" si="14"/>
        <v>233771.34280138538</v>
      </c>
      <c r="O54" s="36">
        <f t="shared" si="14"/>
        <v>285165.72544534539</v>
      </c>
      <c r="P54" s="36">
        <f t="shared" si="14"/>
        <v>318287.58061664097</v>
      </c>
      <c r="Q54" s="36">
        <f t="shared" si="14"/>
        <v>324629.14642698044</v>
      </c>
      <c r="R54" s="82">
        <f t="shared" si="14"/>
        <v>299198.29026654898</v>
      </c>
      <c r="S54" s="36">
        <f t="shared" si="14"/>
        <v>322313.42987745081</v>
      </c>
      <c r="T54" s="36">
        <f t="shared" si="14"/>
        <v>292203.693279539</v>
      </c>
      <c r="U54" s="36">
        <f t="shared" si="14"/>
        <v>275359.19713697769</v>
      </c>
      <c r="V54" s="82">
        <f t="shared" si="14"/>
        <v>278690.45526861015</v>
      </c>
      <c r="W54" s="36">
        <f t="shared" si="14"/>
        <v>299342.4207936069</v>
      </c>
      <c r="X54" s="36">
        <f t="shared" si="14"/>
        <v>263887.08399414603</v>
      </c>
      <c r="Y54" s="36">
        <f t="shared" si="14"/>
        <v>252141.77450249682</v>
      </c>
      <c r="Z54" s="82">
        <f t="shared" si="14"/>
        <v>271107.04990301223</v>
      </c>
      <c r="AA54" s="36">
        <f t="shared" ref="AA54:AD54" si="15">SUM(AA52,AA33)</f>
        <v>258936.66115262959</v>
      </c>
      <c r="AB54" s="36"/>
      <c r="AC54" s="36"/>
      <c r="AD54" s="82"/>
    </row>
    <row r="55" spans="1:30">
      <c r="B55" s="81" t="str">
        <f>IF(ROUND(B25-B54,0)=0,"",B25-B54)</f>
        <v/>
      </c>
      <c r="C55" s="23" t="str">
        <f t="shared" ref="C55:AD55" si="16">IF(ROUND(C25-C54,0)=0,"",C25-C54)</f>
        <v/>
      </c>
      <c r="D55" s="23" t="str">
        <f t="shared" si="16"/>
        <v/>
      </c>
      <c r="E55" s="23" t="str">
        <f t="shared" si="16"/>
        <v/>
      </c>
      <c r="F55" s="81" t="str">
        <f t="shared" si="16"/>
        <v/>
      </c>
      <c r="G55" s="23" t="str">
        <f t="shared" si="16"/>
        <v/>
      </c>
      <c r="H55" s="23" t="str">
        <f t="shared" si="16"/>
        <v/>
      </c>
      <c r="I55" s="23" t="str">
        <f t="shared" si="16"/>
        <v/>
      </c>
      <c r="J55" s="81" t="str">
        <f t="shared" si="16"/>
        <v/>
      </c>
      <c r="K55" s="23" t="str">
        <f t="shared" si="16"/>
        <v/>
      </c>
      <c r="L55" s="23" t="str">
        <f t="shared" si="16"/>
        <v/>
      </c>
      <c r="M55" s="23" t="str">
        <f t="shared" si="16"/>
        <v/>
      </c>
      <c r="N55" s="81" t="str">
        <f t="shared" si="16"/>
        <v/>
      </c>
      <c r="O55" s="23" t="str">
        <f t="shared" si="16"/>
        <v/>
      </c>
      <c r="P55" s="23" t="str">
        <f t="shared" si="16"/>
        <v/>
      </c>
      <c r="Q55" s="23" t="str">
        <f t="shared" si="16"/>
        <v/>
      </c>
      <c r="R55" s="81" t="str">
        <f t="shared" si="16"/>
        <v/>
      </c>
      <c r="S55" s="23" t="str">
        <f t="shared" si="16"/>
        <v/>
      </c>
      <c r="T55" s="23" t="str">
        <f t="shared" si="16"/>
        <v/>
      </c>
      <c r="U55" s="23" t="str">
        <f t="shared" si="16"/>
        <v/>
      </c>
      <c r="V55" s="81" t="str">
        <f t="shared" si="16"/>
        <v/>
      </c>
      <c r="W55" s="23" t="str">
        <f t="shared" si="16"/>
        <v/>
      </c>
      <c r="X55" s="23" t="str">
        <f t="shared" si="16"/>
        <v/>
      </c>
      <c r="Y55" s="23" t="str">
        <f t="shared" si="16"/>
        <v/>
      </c>
      <c r="Z55" s="81" t="str">
        <f t="shared" si="16"/>
        <v/>
      </c>
      <c r="AA55" s="23" t="str">
        <f t="shared" si="16"/>
        <v/>
      </c>
      <c r="AD55" s="81"/>
    </row>
    <row r="56" spans="1:30" s="30" customFormat="1" ht="11.25">
      <c r="A56" s="30" t="s">
        <v>80</v>
      </c>
      <c r="B56" s="84">
        <v>0.19222840115449322</v>
      </c>
      <c r="C56" s="75">
        <v>0.25573341718228965</v>
      </c>
      <c r="D56" s="75">
        <v>0.1856303637583448</v>
      </c>
      <c r="E56" s="75">
        <v>0.23910801021262967</v>
      </c>
      <c r="F56" s="84">
        <v>0.1530157895233632</v>
      </c>
      <c r="G56" s="75">
        <v>0.21515711460749218</v>
      </c>
      <c r="H56" s="75">
        <v>0.12361912034801194</v>
      </c>
      <c r="I56" s="75">
        <v>0.17237934211960482</v>
      </c>
      <c r="J56" s="84">
        <v>0.17941015447678488</v>
      </c>
      <c r="K56" s="75">
        <f t="shared" ref="K56:P56" si="17">K33/K54</f>
        <v>0.21938893726202668</v>
      </c>
      <c r="L56" s="75">
        <f t="shared" si="17"/>
        <v>0.24926681912895285</v>
      </c>
      <c r="M56" s="75">
        <f t="shared" si="17"/>
        <v>0.2711569350818257</v>
      </c>
      <c r="N56" s="84">
        <f t="shared" si="17"/>
        <v>0.2114952898401152</v>
      </c>
      <c r="O56" s="75">
        <f t="shared" si="17"/>
        <v>0.28850659062162393</v>
      </c>
      <c r="P56" s="75">
        <f t="shared" si="17"/>
        <v>0.23461579237843386</v>
      </c>
      <c r="Q56" s="75">
        <f t="shared" ref="Q56:R56" si="18">Q33/Q54</f>
        <v>0.24309647824123776</v>
      </c>
      <c r="R56" s="84">
        <f t="shared" si="18"/>
        <v>0.160051484657</v>
      </c>
      <c r="S56" s="75">
        <f t="shared" ref="S56:V56" si="19">S33/S54</f>
        <v>0.19615785770715236</v>
      </c>
      <c r="T56" s="75">
        <f t="shared" si="19"/>
        <v>0.17619197088292407</v>
      </c>
      <c r="U56" s="75">
        <f t="shared" si="19"/>
        <v>0.18729866033816309</v>
      </c>
      <c r="V56" s="84">
        <f t="shared" si="19"/>
        <v>0.16761831810768119</v>
      </c>
      <c r="W56" s="75">
        <f t="shared" ref="W56:X56" si="20">W33/W54</f>
        <v>0.19961160362673694</v>
      </c>
      <c r="X56" s="75">
        <f t="shared" si="20"/>
        <v>0.17700539201055682</v>
      </c>
      <c r="Y56" s="75">
        <f t="shared" ref="Y56:Z56" si="21">Y33/Y54</f>
        <v>0.20042948964339208</v>
      </c>
      <c r="Z56" s="84">
        <f t="shared" si="21"/>
        <v>0.16723897124048551</v>
      </c>
      <c r="AA56" s="75">
        <f t="shared" ref="AA56:AD56" si="22">AA33/AA54</f>
        <v>0.19963132095185585</v>
      </c>
      <c r="AB56" s="75"/>
      <c r="AC56" s="75"/>
      <c r="AD56" s="84"/>
    </row>
    <row r="58" spans="1:30"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1:30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30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EA6E-5A96-4811-B17C-38AB3EEDFC88}">
  <dimension ref="A1:AK42"/>
  <sheetViews>
    <sheetView showGridLines="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A1" sqref="AA1:AC1048576"/>
    </sheetView>
  </sheetViews>
  <sheetFormatPr defaultColWidth="8.88671875" defaultRowHeight="15"/>
  <cols>
    <col min="1" max="1" width="32.44140625" style="38" customWidth="1"/>
    <col min="2" max="9" width="6.109375" style="38" customWidth="1"/>
    <col min="10" max="26" width="6.109375" style="1" customWidth="1"/>
    <col min="27" max="29" width="6.109375" style="1" hidden="1" customWidth="1"/>
    <col min="30" max="30" width="8.88671875" style="1"/>
    <col min="31" max="37" width="6.109375" style="1" customWidth="1"/>
    <col min="38" max="16384" width="8.88671875" style="1"/>
  </cols>
  <sheetData>
    <row r="1" spans="1:37" ht="25.5">
      <c r="A1" s="69" t="s">
        <v>81</v>
      </c>
      <c r="B1" s="43" t="s">
        <v>155</v>
      </c>
      <c r="C1" s="43" t="s">
        <v>156</v>
      </c>
      <c r="D1" s="43" t="s">
        <v>157</v>
      </c>
      <c r="E1" s="43" t="s">
        <v>158</v>
      </c>
      <c r="F1" s="43" t="s">
        <v>159</v>
      </c>
      <c r="G1" s="44" t="s">
        <v>160</v>
      </c>
      <c r="H1" s="44" t="s">
        <v>161</v>
      </c>
      <c r="I1" s="44" t="s">
        <v>162</v>
      </c>
      <c r="J1" s="44" t="s">
        <v>163</v>
      </c>
      <c r="K1" s="44" t="s">
        <v>164</v>
      </c>
      <c r="L1" s="44" t="s">
        <v>165</v>
      </c>
      <c r="M1" s="44" t="s">
        <v>166</v>
      </c>
      <c r="N1" s="44" t="s">
        <v>167</v>
      </c>
      <c r="O1" s="44" t="s">
        <v>168</v>
      </c>
      <c r="P1" s="44" t="s">
        <v>169</v>
      </c>
      <c r="Q1" s="44" t="s">
        <v>170</v>
      </c>
      <c r="R1" s="44" t="s">
        <v>171</v>
      </c>
      <c r="S1" s="44" t="s">
        <v>172</v>
      </c>
      <c r="T1" s="44" t="s">
        <v>173</v>
      </c>
      <c r="U1" s="44" t="s">
        <v>174</v>
      </c>
      <c r="V1" s="44" t="s">
        <v>187</v>
      </c>
      <c r="W1" s="44" t="s">
        <v>188</v>
      </c>
      <c r="X1" s="44" t="s">
        <v>189</v>
      </c>
      <c r="Y1" s="44" t="s">
        <v>190</v>
      </c>
      <c r="Z1" s="44" t="s">
        <v>195</v>
      </c>
      <c r="AA1" s="44" t="s">
        <v>196</v>
      </c>
      <c r="AB1" s="44" t="s">
        <v>197</v>
      </c>
      <c r="AC1" s="44" t="s">
        <v>198</v>
      </c>
      <c r="AE1" s="44"/>
      <c r="AF1" s="44"/>
      <c r="AG1" s="44"/>
      <c r="AH1" s="44"/>
      <c r="AI1" s="44"/>
      <c r="AJ1" s="44"/>
      <c r="AK1" s="44"/>
    </row>
    <row r="2" spans="1:37">
      <c r="A2" s="30"/>
      <c r="B2" s="1"/>
      <c r="C2" s="1"/>
      <c r="D2" s="1"/>
      <c r="E2" s="1"/>
      <c r="F2" s="1"/>
      <c r="G2" s="1"/>
      <c r="H2" s="1"/>
      <c r="I2" s="1"/>
    </row>
    <row r="3" spans="1:37">
      <c r="A3" s="46"/>
      <c r="B3" s="28">
        <v>2020</v>
      </c>
      <c r="C3" s="28">
        <v>2020</v>
      </c>
      <c r="D3" s="28">
        <v>2020</v>
      </c>
      <c r="E3" s="28">
        <v>2020</v>
      </c>
      <c r="F3" s="28">
        <v>2021</v>
      </c>
      <c r="G3" s="28">
        <v>2021</v>
      </c>
      <c r="H3" s="28">
        <v>2021</v>
      </c>
      <c r="I3" s="28">
        <v>2021</v>
      </c>
      <c r="J3" s="28">
        <v>2022</v>
      </c>
      <c r="K3" s="28">
        <v>2022</v>
      </c>
      <c r="L3" s="28">
        <v>2022</v>
      </c>
      <c r="M3" s="28">
        <v>2022</v>
      </c>
      <c r="N3" s="28">
        <v>2023</v>
      </c>
      <c r="O3" s="28">
        <v>2023</v>
      </c>
      <c r="P3" s="28">
        <v>2023</v>
      </c>
      <c r="Q3" s="28">
        <v>2023</v>
      </c>
      <c r="R3" s="28">
        <v>2024</v>
      </c>
      <c r="S3" s="28">
        <v>2024</v>
      </c>
      <c r="T3" s="28">
        <v>2024</v>
      </c>
      <c r="U3" s="28">
        <v>2024</v>
      </c>
      <c r="V3" s="28">
        <v>2025</v>
      </c>
      <c r="W3" s="28">
        <v>2025</v>
      </c>
      <c r="X3" s="28">
        <v>2025</v>
      </c>
      <c r="Y3" s="28">
        <v>2025</v>
      </c>
      <c r="Z3" s="28">
        <v>2026</v>
      </c>
      <c r="AA3" s="28">
        <v>2026</v>
      </c>
      <c r="AB3" s="28">
        <v>2026</v>
      </c>
      <c r="AC3" s="28">
        <v>2026</v>
      </c>
      <c r="AE3" s="76">
        <v>2020</v>
      </c>
      <c r="AF3" s="76">
        <v>2021</v>
      </c>
      <c r="AG3" s="76">
        <v>2022</v>
      </c>
      <c r="AH3" s="76">
        <v>2023</v>
      </c>
      <c r="AI3" s="76">
        <v>2024</v>
      </c>
      <c r="AJ3" s="76">
        <v>2025</v>
      </c>
      <c r="AK3" s="76">
        <v>2026</v>
      </c>
    </row>
    <row r="4" spans="1:37">
      <c r="A4" s="71" t="s">
        <v>221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0</v>
      </c>
      <c r="G4" s="29" t="s">
        <v>1</v>
      </c>
      <c r="H4" s="29" t="s">
        <v>2</v>
      </c>
      <c r="I4" s="29" t="s">
        <v>3</v>
      </c>
      <c r="J4" s="29" t="s">
        <v>0</v>
      </c>
      <c r="K4" s="29" t="s">
        <v>1</v>
      </c>
      <c r="L4" s="29" t="s">
        <v>2</v>
      </c>
      <c r="M4" s="29" t="s">
        <v>3</v>
      </c>
      <c r="N4" s="29" t="s">
        <v>0</v>
      </c>
      <c r="O4" s="29" t="s">
        <v>1</v>
      </c>
      <c r="P4" s="29" t="s">
        <v>2</v>
      </c>
      <c r="Q4" s="29" t="s">
        <v>3</v>
      </c>
      <c r="R4" s="29" t="s">
        <v>0</v>
      </c>
      <c r="S4" s="29" t="s">
        <v>1</v>
      </c>
      <c r="T4" s="29" t="s">
        <v>2</v>
      </c>
      <c r="U4" s="29" t="s">
        <v>3</v>
      </c>
      <c r="V4" s="29" t="s">
        <v>0</v>
      </c>
      <c r="W4" s="29" t="s">
        <v>1</v>
      </c>
      <c r="X4" s="29" t="s">
        <v>2</v>
      </c>
      <c r="Y4" s="29" t="s">
        <v>3</v>
      </c>
      <c r="Z4" s="29" t="s">
        <v>0</v>
      </c>
      <c r="AA4" s="29" t="s">
        <v>1</v>
      </c>
      <c r="AB4" s="29" t="s">
        <v>2</v>
      </c>
      <c r="AC4" s="29" t="s">
        <v>3</v>
      </c>
      <c r="AE4" s="77" t="s">
        <v>218</v>
      </c>
      <c r="AF4" s="77" t="s">
        <v>218</v>
      </c>
      <c r="AG4" s="77" t="s">
        <v>218</v>
      </c>
      <c r="AH4" s="77" t="s">
        <v>218</v>
      </c>
      <c r="AI4" s="77" t="s">
        <v>218</v>
      </c>
      <c r="AJ4" s="77" t="s">
        <v>218</v>
      </c>
      <c r="AK4" s="77" t="s">
        <v>219</v>
      </c>
    </row>
    <row r="5" spans="1:37">
      <c r="A5" s="33"/>
      <c r="B5" s="33"/>
      <c r="C5" s="34"/>
      <c r="D5" s="34"/>
      <c r="E5" s="34"/>
      <c r="F5" s="34"/>
      <c r="G5" s="34"/>
      <c r="H5" s="34"/>
      <c r="I5" s="34"/>
    </row>
    <row r="6" spans="1:37">
      <c r="A6" s="30" t="s">
        <v>38</v>
      </c>
      <c r="B6" s="34">
        <v>21562.486525388707</v>
      </c>
      <c r="C6" s="34">
        <v>14320.33705728281</v>
      </c>
      <c r="D6" s="34">
        <v>13527.036332881591</v>
      </c>
      <c r="E6" s="34">
        <v>12375.512355345068</v>
      </c>
      <c r="F6" s="34">
        <v>18180.516196773016</v>
      </c>
      <c r="G6" s="34">
        <v>16300.610506514939</v>
      </c>
      <c r="H6" s="34">
        <v>9905.173504141545</v>
      </c>
      <c r="I6" s="34">
        <v>13037.5248148711</v>
      </c>
      <c r="J6" s="34">
        <v>14948.861808361304</v>
      </c>
      <c r="K6" s="34">
        <v>19486.354082879559</v>
      </c>
      <c r="L6" s="34">
        <v>10914.910809104666</v>
      </c>
      <c r="M6" s="34">
        <v>19472.931890227243</v>
      </c>
      <c r="N6" s="34">
        <v>31732.704689852013</v>
      </c>
      <c r="O6" s="34">
        <v>19153.275522466203</v>
      </c>
      <c r="P6" s="34">
        <v>7632.5797877852383</v>
      </c>
      <c r="Q6" s="34">
        <v>16893.501475800113</v>
      </c>
      <c r="R6" s="34">
        <v>18011.617533892269</v>
      </c>
      <c r="S6" s="34">
        <v>20470.09848922793</v>
      </c>
      <c r="T6" s="34">
        <v>-949.91475066205021</v>
      </c>
      <c r="U6" s="34">
        <v>7716.6405345884632</v>
      </c>
      <c r="V6" s="34">
        <v>18882.145162637571</v>
      </c>
      <c r="W6" s="34">
        <v>3206.9766635430933</v>
      </c>
      <c r="X6" s="34">
        <v>5626.0929567989951</v>
      </c>
      <c r="Y6" s="34">
        <v>2623.8414281205551</v>
      </c>
      <c r="Z6" s="34">
        <v>15933.967905591102</v>
      </c>
      <c r="AA6" s="34">
        <v>0</v>
      </c>
      <c r="AB6" s="34">
        <v>0</v>
      </c>
      <c r="AC6" s="34">
        <v>0</v>
      </c>
      <c r="AE6" s="34">
        <f>SUMIFS($B6:$AC6,$B$3:$AC$3,AE$3)</f>
        <v>61785.37227089818</v>
      </c>
      <c r="AF6" s="34">
        <f>SUMIFS($B6:$AC6,$B$3:$AC$3,AF$3)</f>
        <v>57423.825022300603</v>
      </c>
      <c r="AG6" s="34">
        <f t="shared" ref="AG6:AK6" si="0">SUMIFS($B6:$AC6,$B$3:$AC$3,AG$3)</f>
        <v>64823.058590572771</v>
      </c>
      <c r="AH6" s="34">
        <f t="shared" si="0"/>
        <v>75412.061475903567</v>
      </c>
      <c r="AI6" s="34">
        <f t="shared" si="0"/>
        <v>45248.441807046613</v>
      </c>
      <c r="AJ6" s="34">
        <f t="shared" si="0"/>
        <v>30339.056211100215</v>
      </c>
      <c r="AK6" s="34">
        <f t="shared" si="0"/>
        <v>15933.967905591102</v>
      </c>
    </row>
    <row r="7" spans="1:37">
      <c r="A7" s="30" t="s">
        <v>82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E7" s="34">
        <f t="shared" ref="AE7:AK18" si="1">SUMIFS($B7:$AC7,$B$3:$AC$3,AE$3)</f>
        <v>0</v>
      </c>
      <c r="AF7" s="34">
        <f t="shared" si="1"/>
        <v>0</v>
      </c>
      <c r="AG7" s="34">
        <f t="shared" si="1"/>
        <v>0</v>
      </c>
      <c r="AH7" s="34">
        <f t="shared" si="1"/>
        <v>0</v>
      </c>
      <c r="AI7" s="34">
        <f t="shared" si="1"/>
        <v>0</v>
      </c>
      <c r="AJ7" s="34">
        <f t="shared" si="1"/>
        <v>0</v>
      </c>
      <c r="AK7" s="34">
        <f t="shared" si="1"/>
        <v>0</v>
      </c>
    </row>
    <row r="8" spans="1:37">
      <c r="A8" s="30" t="s">
        <v>83</v>
      </c>
      <c r="B8" s="34">
        <v>-4393.2798704147881</v>
      </c>
      <c r="C8" s="34">
        <v>-200.99923287707134</v>
      </c>
      <c r="D8" s="34">
        <v>-3282.308420931261</v>
      </c>
      <c r="E8" s="34">
        <v>-1497.2378529416683</v>
      </c>
      <c r="F8" s="34">
        <v>-5461.9277799659194</v>
      </c>
      <c r="G8" s="34">
        <v>-4671</v>
      </c>
      <c r="H8" s="34">
        <v>-2614.3251210123472</v>
      </c>
      <c r="I8" s="34">
        <v>-475.96527326144133</v>
      </c>
      <c r="J8" s="34">
        <v>-8673.7120133130629</v>
      </c>
      <c r="K8" s="34">
        <v>-2578.4119267199999</v>
      </c>
      <c r="L8" s="34">
        <v>4512.7290473399999</v>
      </c>
      <c r="M8" s="34">
        <v>-1240.4439356008552</v>
      </c>
      <c r="N8" s="34">
        <v>-7918.6415597759997</v>
      </c>
      <c r="O8" s="34">
        <v>-4086.3975810950014</v>
      </c>
      <c r="P8" s="34">
        <v>-165.71075687222037</v>
      </c>
      <c r="Q8" s="34">
        <v>322.78372204655625</v>
      </c>
      <c r="R8" s="34">
        <v>-4695.875877075001</v>
      </c>
      <c r="S8" s="34">
        <v>-4742.2708841216663</v>
      </c>
      <c r="T8" s="34">
        <v>-384.15926037833196</v>
      </c>
      <c r="U8" s="34">
        <v>14.070872300000701</v>
      </c>
      <c r="V8" s="34">
        <v>-2312.0725209687716</v>
      </c>
      <c r="W8" s="34">
        <v>-1209.1746382471911</v>
      </c>
      <c r="X8" s="34">
        <v>-618.51839875635051</v>
      </c>
      <c r="Y8" s="34">
        <v>-1199.5574245627922</v>
      </c>
      <c r="Z8" s="34">
        <v>-1374.0266450318181</v>
      </c>
      <c r="AA8" s="34">
        <v>0</v>
      </c>
      <c r="AB8" s="34">
        <v>0</v>
      </c>
      <c r="AC8" s="34">
        <v>0</v>
      </c>
      <c r="AE8" s="34">
        <f t="shared" si="1"/>
        <v>-9373.8253771647887</v>
      </c>
      <c r="AF8" s="34">
        <f t="shared" si="1"/>
        <v>-13223.218174239708</v>
      </c>
      <c r="AG8" s="34">
        <f t="shared" si="1"/>
        <v>-7979.8388282939186</v>
      </c>
      <c r="AH8" s="34">
        <f t="shared" si="1"/>
        <v>-11847.966175696667</v>
      </c>
      <c r="AI8" s="34">
        <f t="shared" si="1"/>
        <v>-9808.2351492749985</v>
      </c>
      <c r="AJ8" s="34">
        <f t="shared" si="1"/>
        <v>-5339.3229825351054</v>
      </c>
      <c r="AK8" s="34">
        <f t="shared" si="1"/>
        <v>-1374.0266450318181</v>
      </c>
    </row>
    <row r="9" spans="1:37">
      <c r="A9" s="30" t="s">
        <v>143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462.125</v>
      </c>
      <c r="K9" s="34">
        <v>352.69499999999999</v>
      </c>
      <c r="L9" s="34">
        <v>0</v>
      </c>
      <c r="M9" s="34">
        <v>0</v>
      </c>
      <c r="N9" s="34">
        <v>-304.10000000000002</v>
      </c>
      <c r="O9" s="34">
        <v>15.667</v>
      </c>
      <c r="P9" s="34">
        <v>0</v>
      </c>
      <c r="Q9" s="34">
        <v>-25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E9" s="34">
        <f t="shared" si="1"/>
        <v>0</v>
      </c>
      <c r="AF9" s="34">
        <f t="shared" si="1"/>
        <v>0</v>
      </c>
      <c r="AG9" s="34">
        <f t="shared" si="1"/>
        <v>814.81999999999994</v>
      </c>
      <c r="AH9" s="34">
        <f t="shared" si="1"/>
        <v>-313.43300000000005</v>
      </c>
      <c r="AI9" s="34">
        <f t="shared" si="1"/>
        <v>0</v>
      </c>
      <c r="AJ9" s="34">
        <f t="shared" si="1"/>
        <v>0</v>
      </c>
      <c r="AK9" s="34">
        <f t="shared" si="1"/>
        <v>0</v>
      </c>
    </row>
    <row r="10" spans="1:37">
      <c r="A10" s="30" t="s">
        <v>182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315.04607796709752</v>
      </c>
      <c r="O10" s="34">
        <v>580.94810393386456</v>
      </c>
      <c r="P10" s="34">
        <v>905.30417149739719</v>
      </c>
      <c r="Q10" s="34">
        <v>1086.5078201844149</v>
      </c>
      <c r="R10" s="34">
        <v>1000.3397746020408</v>
      </c>
      <c r="S10" s="34">
        <v>1023.2759798655367</v>
      </c>
      <c r="T10" s="34">
        <v>1017.4192455324223</v>
      </c>
      <c r="U10" s="34">
        <v>1133.870625051859</v>
      </c>
      <c r="V10" s="34">
        <v>1094.4814253547866</v>
      </c>
      <c r="W10" s="34">
        <v>1015.505187091936</v>
      </c>
      <c r="X10" s="34">
        <v>1008.7395346481162</v>
      </c>
      <c r="Y10" s="34">
        <v>1000.9650191724295</v>
      </c>
      <c r="Z10" s="34">
        <v>797.2896300704507</v>
      </c>
      <c r="AA10" s="34">
        <v>0</v>
      </c>
      <c r="AB10" s="34">
        <v>0</v>
      </c>
      <c r="AC10" s="34">
        <v>0</v>
      </c>
      <c r="AE10" s="34">
        <f t="shared" si="1"/>
        <v>0</v>
      </c>
      <c r="AF10" s="34">
        <f t="shared" si="1"/>
        <v>0</v>
      </c>
      <c r="AG10" s="34">
        <f t="shared" si="1"/>
        <v>0</v>
      </c>
      <c r="AH10" s="34">
        <f t="shared" si="1"/>
        <v>2887.8061735827741</v>
      </c>
      <c r="AI10" s="34">
        <f t="shared" si="1"/>
        <v>4174.9056250518588</v>
      </c>
      <c r="AJ10" s="34">
        <f t="shared" si="1"/>
        <v>4119.6911662672683</v>
      </c>
      <c r="AK10" s="34">
        <f t="shared" si="1"/>
        <v>797.2896300704507</v>
      </c>
    </row>
    <row r="11" spans="1:37">
      <c r="A11" s="30" t="s">
        <v>183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-103.17400000000001</v>
      </c>
      <c r="O11" s="34">
        <v>-285.25599999999997</v>
      </c>
      <c r="P11" s="34">
        <v>-18.991</v>
      </c>
      <c r="Q11" s="34">
        <v>-158.75</v>
      </c>
      <c r="R11" s="34">
        <v>-114.351</v>
      </c>
      <c r="S11" s="34">
        <v>-178.62599999999975</v>
      </c>
      <c r="T11" s="34">
        <v>-215.08645339240309</v>
      </c>
      <c r="U11" s="34">
        <v>-374.25401148767867</v>
      </c>
      <c r="V11" s="34">
        <v>-379.24243315789465</v>
      </c>
      <c r="W11" s="34">
        <v>-341.87634077377572</v>
      </c>
      <c r="X11" s="34">
        <v>-379.26169139310321</v>
      </c>
      <c r="Y11" s="34">
        <v>-345.20254210104372</v>
      </c>
      <c r="Z11" s="34">
        <v>-158.2669835988354</v>
      </c>
      <c r="AA11" s="34">
        <v>0</v>
      </c>
      <c r="AB11" s="34">
        <v>0</v>
      </c>
      <c r="AC11" s="34">
        <v>0</v>
      </c>
      <c r="AE11" s="34">
        <f t="shared" si="1"/>
        <v>0</v>
      </c>
      <c r="AF11" s="34">
        <f t="shared" si="1"/>
        <v>0</v>
      </c>
      <c r="AG11" s="34">
        <f t="shared" si="1"/>
        <v>0</v>
      </c>
      <c r="AH11" s="34">
        <f t="shared" si="1"/>
        <v>-566.17099999999994</v>
      </c>
      <c r="AI11" s="34">
        <f t="shared" si="1"/>
        <v>-882.3174648800815</v>
      </c>
      <c r="AJ11" s="34">
        <f t="shared" si="1"/>
        <v>-1445.5830074258172</v>
      </c>
      <c r="AK11" s="34">
        <f t="shared" si="1"/>
        <v>-158.2669835988354</v>
      </c>
    </row>
    <row r="12" spans="1:37">
      <c r="A12" s="30" t="s">
        <v>84</v>
      </c>
      <c r="B12" s="34">
        <v>10066.61163601612</v>
      </c>
      <c r="C12" s="34">
        <v>9961.7664662020816</v>
      </c>
      <c r="D12" s="34">
        <v>10078.66277703121</v>
      </c>
      <c r="E12" s="34">
        <v>12398.31647815679</v>
      </c>
      <c r="F12" s="34">
        <v>7080.2271196837701</v>
      </c>
      <c r="G12" s="34">
        <v>7097.2348120905099</v>
      </c>
      <c r="H12" s="34">
        <v>7171.8968460099604</v>
      </c>
      <c r="I12" s="34">
        <v>7117.912341761963</v>
      </c>
      <c r="J12" s="34">
        <v>7928.0508540167921</v>
      </c>
      <c r="K12" s="34">
        <v>7317.6810355179568</v>
      </c>
      <c r="L12" s="34">
        <v>8506.7497310119252</v>
      </c>
      <c r="M12" s="34">
        <v>8757.8407362646212</v>
      </c>
      <c r="N12" s="34">
        <v>7588.9687517234106</v>
      </c>
      <c r="O12" s="34">
        <v>8000.0117718710953</v>
      </c>
      <c r="P12" s="34">
        <v>8231.2263429756385</v>
      </c>
      <c r="Q12" s="34">
        <v>8478.933953869906</v>
      </c>
      <c r="R12" s="34">
        <v>8467.5507706558165</v>
      </c>
      <c r="S12" s="34">
        <v>8318.9175141482738</v>
      </c>
      <c r="T12" s="34">
        <v>8140.110637187121</v>
      </c>
      <c r="U12" s="34">
        <v>8082.5332123110347</v>
      </c>
      <c r="V12" s="34">
        <v>8043.1550508749242</v>
      </c>
      <c r="W12" s="34">
        <v>8029.2872781566221</v>
      </c>
      <c r="X12" s="34">
        <v>7971.4743941997513</v>
      </c>
      <c r="Y12" s="34">
        <v>8057.0728790091453</v>
      </c>
      <c r="Z12" s="34">
        <v>7951.3792042007935</v>
      </c>
      <c r="AA12" s="34">
        <v>0</v>
      </c>
      <c r="AB12" s="34">
        <v>0</v>
      </c>
      <c r="AC12" s="34">
        <v>0</v>
      </c>
      <c r="AE12" s="34">
        <f t="shared" si="1"/>
        <v>42505.357357406203</v>
      </c>
      <c r="AF12" s="34">
        <f t="shared" si="1"/>
        <v>28467.271119546203</v>
      </c>
      <c r="AG12" s="34">
        <f t="shared" si="1"/>
        <v>32510.322356811295</v>
      </c>
      <c r="AH12" s="34">
        <f t="shared" si="1"/>
        <v>32299.14082044005</v>
      </c>
      <c r="AI12" s="34">
        <f t="shared" si="1"/>
        <v>33009.112134302246</v>
      </c>
      <c r="AJ12" s="34">
        <f t="shared" si="1"/>
        <v>32100.989602240443</v>
      </c>
      <c r="AK12" s="34">
        <f t="shared" si="1"/>
        <v>7951.3792042007935</v>
      </c>
    </row>
    <row r="13" spans="1:37">
      <c r="A13" s="30" t="s">
        <v>85</v>
      </c>
      <c r="B13" s="34">
        <v>0</v>
      </c>
      <c r="C13" s="34">
        <v>0</v>
      </c>
      <c r="D13" s="34">
        <v>-2153</v>
      </c>
      <c r="E13" s="34">
        <v>-337.88900000000001</v>
      </c>
      <c r="F13" s="34">
        <v>0</v>
      </c>
      <c r="G13" s="34">
        <v>403.51400000000001</v>
      </c>
      <c r="H13" s="34">
        <v>0</v>
      </c>
      <c r="I13" s="34">
        <v>359.3</v>
      </c>
      <c r="J13" s="34">
        <v>260.86500000000001</v>
      </c>
      <c r="K13" s="34">
        <v>306.13499999999999</v>
      </c>
      <c r="L13" s="34">
        <v>48.394000000000005</v>
      </c>
      <c r="M13" s="34">
        <v>838.57300000000009</v>
      </c>
      <c r="N13" s="34">
        <v>400</v>
      </c>
      <c r="O13" s="34">
        <v>1131.982</v>
      </c>
      <c r="P13" s="34">
        <v>0</v>
      </c>
      <c r="Q13" s="34">
        <v>122.9190000000001</v>
      </c>
      <c r="R13" s="34">
        <v>340</v>
      </c>
      <c r="S13" s="34">
        <v>485.96299999999997</v>
      </c>
      <c r="T13" s="34">
        <v>421</v>
      </c>
      <c r="U13" s="34">
        <v>298.3900000000001</v>
      </c>
      <c r="V13" s="34">
        <v>312</v>
      </c>
      <c r="W13" s="34">
        <v>0</v>
      </c>
      <c r="X13" s="34">
        <v>690</v>
      </c>
      <c r="Y13" s="34">
        <v>297.76</v>
      </c>
      <c r="Z13" s="34">
        <v>298</v>
      </c>
      <c r="AA13" s="34">
        <v>0</v>
      </c>
      <c r="AB13" s="34">
        <v>0</v>
      </c>
      <c r="AC13" s="34">
        <v>0</v>
      </c>
      <c r="AE13" s="34">
        <f t="shared" si="1"/>
        <v>-2490.8890000000001</v>
      </c>
      <c r="AF13" s="34">
        <f t="shared" si="1"/>
        <v>762.81400000000008</v>
      </c>
      <c r="AG13" s="34">
        <f t="shared" si="1"/>
        <v>1453.9670000000001</v>
      </c>
      <c r="AH13" s="34">
        <f t="shared" si="1"/>
        <v>1654.9010000000001</v>
      </c>
      <c r="AI13" s="34">
        <f t="shared" si="1"/>
        <v>1545.3530000000001</v>
      </c>
      <c r="AJ13" s="34">
        <f t="shared" si="1"/>
        <v>1299.76</v>
      </c>
      <c r="AK13" s="34">
        <f t="shared" si="1"/>
        <v>298</v>
      </c>
    </row>
    <row r="14" spans="1:37">
      <c r="A14" s="30" t="s">
        <v>144</v>
      </c>
      <c r="B14" s="34">
        <v>-111.47583584015274</v>
      </c>
      <c r="C14" s="34">
        <v>-830.88371533815211</v>
      </c>
      <c r="D14" s="34">
        <v>311.70561002384329</v>
      </c>
      <c r="E14" s="34">
        <v>167.56820862384598</v>
      </c>
      <c r="F14" s="34">
        <v>-2026.5804325594913</v>
      </c>
      <c r="G14" s="34">
        <v>497.54403665718291</v>
      </c>
      <c r="H14" s="34">
        <v>1222.1021212138376</v>
      </c>
      <c r="I14" s="34">
        <v>382.18482975784718</v>
      </c>
      <c r="J14" s="34">
        <v>-6702.6270096171493</v>
      </c>
      <c r="K14" s="34">
        <v>8115.4062715598475</v>
      </c>
      <c r="L14" s="34">
        <v>-73.834689465153133</v>
      </c>
      <c r="M14" s="34">
        <v>-443.83141929815156</v>
      </c>
      <c r="N14" s="34">
        <v>-1619.5978105261581</v>
      </c>
      <c r="O14" s="34">
        <v>-1851.6977747961521</v>
      </c>
      <c r="P14" s="34">
        <v>659.99225839700011</v>
      </c>
      <c r="Q14" s="34">
        <v>-415.45996592899974</v>
      </c>
      <c r="R14" s="34">
        <v>-1016.4094893939996</v>
      </c>
      <c r="S14" s="34">
        <v>907.99805654438796</v>
      </c>
      <c r="T14" s="34">
        <v>223.62076037300039</v>
      </c>
      <c r="U14" s="34">
        <v>-3850.2880606729996</v>
      </c>
      <c r="V14" s="34">
        <v>-1167.5630715680018</v>
      </c>
      <c r="W14" s="34">
        <v>1227.2201022779991</v>
      </c>
      <c r="X14" s="34">
        <v>-1332.3228977660019</v>
      </c>
      <c r="Y14" s="34">
        <v>2158.0382499440002</v>
      </c>
      <c r="Z14" s="34">
        <v>-3106.8019410579982</v>
      </c>
      <c r="AA14" s="34">
        <v>0</v>
      </c>
      <c r="AB14" s="34">
        <v>0</v>
      </c>
      <c r="AC14" s="34">
        <v>0</v>
      </c>
      <c r="AE14" s="34">
        <f t="shared" si="1"/>
        <v>-463.08573253061559</v>
      </c>
      <c r="AF14" s="34">
        <f t="shared" si="1"/>
        <v>75.250555069376333</v>
      </c>
      <c r="AG14" s="34">
        <f t="shared" si="1"/>
        <v>895.11315317939352</v>
      </c>
      <c r="AH14" s="34">
        <f t="shared" si="1"/>
        <v>-3226.7632928543098</v>
      </c>
      <c r="AI14" s="34">
        <f t="shared" si="1"/>
        <v>-3735.0787331496108</v>
      </c>
      <c r="AJ14" s="34">
        <f t="shared" si="1"/>
        <v>885.37238288799563</v>
      </c>
      <c r="AK14" s="34">
        <f t="shared" si="1"/>
        <v>-3106.8019410579982</v>
      </c>
    </row>
    <row r="15" spans="1:37">
      <c r="A15" s="30" t="s">
        <v>86</v>
      </c>
      <c r="B15" s="34">
        <v>-22427.93623628073</v>
      </c>
      <c r="C15" s="34">
        <v>22199.370235250215</v>
      </c>
      <c r="D15" s="34">
        <v>-7096.1289283234073</v>
      </c>
      <c r="E15" s="34">
        <v>-2875.2832614172949</v>
      </c>
      <c r="F15" s="34">
        <v>-13965.981415300834</v>
      </c>
      <c r="G15" s="34">
        <v>-5419.4794845829892</v>
      </c>
      <c r="H15" s="34">
        <v>5196.3762330249447</v>
      </c>
      <c r="I15" s="34">
        <v>5372.3524194834754</v>
      </c>
      <c r="J15" s="34">
        <v>-11675.514604660464</v>
      </c>
      <c r="K15" s="34">
        <v>-11328.883562673975</v>
      </c>
      <c r="L15" s="34">
        <v>-334.78654478229873</v>
      </c>
      <c r="M15" s="34">
        <v>460.22261549784162</v>
      </c>
      <c r="N15" s="34">
        <v>-35723.068653308699</v>
      </c>
      <c r="O15" s="34">
        <v>9347.9972669685958</v>
      </c>
      <c r="P15" s="34">
        <v>-12251.932292862155</v>
      </c>
      <c r="Q15" s="34">
        <v>29828.012873519998</v>
      </c>
      <c r="R15" s="34">
        <v>-36829.139613380044</v>
      </c>
      <c r="S15" s="34">
        <v>16905.15211492496</v>
      </c>
      <c r="T15" s="34">
        <v>7799.0980128896335</v>
      </c>
      <c r="U15" s="34">
        <v>27905.617062066565</v>
      </c>
      <c r="V15" s="34">
        <v>-29934.808083163458</v>
      </c>
      <c r="W15" s="34">
        <v>21200.247599010036</v>
      </c>
      <c r="X15" s="34">
        <v>-9267.7402585100208</v>
      </c>
      <c r="Y15" s="34">
        <v>14951.570263979025</v>
      </c>
      <c r="Z15" s="34">
        <v>-15073.967776398989</v>
      </c>
      <c r="AA15" s="34">
        <v>0</v>
      </c>
      <c r="AB15" s="34">
        <v>0</v>
      </c>
      <c r="AC15" s="34">
        <v>0</v>
      </c>
      <c r="AE15" s="34">
        <f t="shared" si="1"/>
        <v>-10199.978190771217</v>
      </c>
      <c r="AF15" s="34">
        <f t="shared" si="1"/>
        <v>-8816.7322473754029</v>
      </c>
      <c r="AG15" s="34">
        <f t="shared" si="1"/>
        <v>-22878.962096618896</v>
      </c>
      <c r="AH15" s="34">
        <f t="shared" si="1"/>
        <v>-8798.9908056822605</v>
      </c>
      <c r="AI15" s="34">
        <f t="shared" si="1"/>
        <v>15780.727576501115</v>
      </c>
      <c r="AJ15" s="34">
        <f t="shared" si="1"/>
        <v>-3050.7304786844179</v>
      </c>
      <c r="AK15" s="34">
        <f t="shared" si="1"/>
        <v>-15073.967776398989</v>
      </c>
    </row>
    <row r="16" spans="1:37">
      <c r="A16" s="30" t="s">
        <v>87</v>
      </c>
      <c r="B16" s="34">
        <v>-9005.4450498664646</v>
      </c>
      <c r="C16" s="34">
        <v>2100.7613229954059</v>
      </c>
      <c r="D16" s="34">
        <v>-299.85884549405455</v>
      </c>
      <c r="E16" s="34">
        <v>6535.1947042597603</v>
      </c>
      <c r="F16" s="34">
        <v>-1823.9113706508433</v>
      </c>
      <c r="G16" s="34">
        <v>6750.8484107370787</v>
      </c>
      <c r="H16" s="34">
        <v>-6680.0707352760546</v>
      </c>
      <c r="I16" s="34">
        <v>-2569.6343253876512</v>
      </c>
      <c r="J16" s="34">
        <v>-2906.8982382564864</v>
      </c>
      <c r="K16" s="34">
        <v>3268.1013985047211</v>
      </c>
      <c r="L16" s="34">
        <v>2838.0922008280504</v>
      </c>
      <c r="M16" s="34">
        <v>-5285.7820173534892</v>
      </c>
      <c r="N16" s="34">
        <v>-1448.9032035747477</v>
      </c>
      <c r="O16" s="34">
        <v>2514.2396730258006</v>
      </c>
      <c r="P16" s="34">
        <v>-1812.5491145636352</v>
      </c>
      <c r="Q16" s="34">
        <v>2276.0267199045502</v>
      </c>
      <c r="R16" s="34">
        <v>-48.326130436020321</v>
      </c>
      <c r="S16" s="34">
        <v>533.53584642939313</v>
      </c>
      <c r="T16" s="34">
        <v>-3305.4847494050173</v>
      </c>
      <c r="U16" s="34">
        <v>4603.9947984348946</v>
      </c>
      <c r="V16" s="34">
        <v>-3435.3294236432448</v>
      </c>
      <c r="W16" s="34">
        <v>3239.6292468430511</v>
      </c>
      <c r="X16" s="34">
        <v>-2771.6687849603404</v>
      </c>
      <c r="Y16" s="34">
        <v>483.43546791340486</v>
      </c>
      <c r="Z16" s="34">
        <v>-2674.7502545577845</v>
      </c>
      <c r="AA16" s="34">
        <v>0</v>
      </c>
      <c r="AB16" s="34">
        <v>0</v>
      </c>
      <c r="AC16" s="34">
        <v>0</v>
      </c>
      <c r="AE16" s="34">
        <f t="shared" si="1"/>
        <v>-669.34786810535297</v>
      </c>
      <c r="AF16" s="34">
        <f t="shared" si="1"/>
        <v>-4322.7680205774705</v>
      </c>
      <c r="AG16" s="34">
        <f t="shared" si="1"/>
        <v>-2086.486656277204</v>
      </c>
      <c r="AH16" s="34">
        <f t="shared" si="1"/>
        <v>1528.8140747919679</v>
      </c>
      <c r="AI16" s="34">
        <f t="shared" si="1"/>
        <v>1783.7197650232501</v>
      </c>
      <c r="AJ16" s="34">
        <f t="shared" si="1"/>
        <v>-2483.9334938471293</v>
      </c>
      <c r="AK16" s="34">
        <f t="shared" si="1"/>
        <v>-2674.7502545577845</v>
      </c>
    </row>
    <row r="17" spans="1:37">
      <c r="A17" s="30" t="s">
        <v>89</v>
      </c>
      <c r="B17" s="34">
        <v>2526.8461865268041</v>
      </c>
      <c r="C17" s="34">
        <v>636.68081985828621</v>
      </c>
      <c r="D17" s="34">
        <v>-71.239838118416628</v>
      </c>
      <c r="E17" s="34">
        <v>75</v>
      </c>
      <c r="F17" s="34">
        <v>-1128.620133235524</v>
      </c>
      <c r="G17" s="34">
        <v>-355</v>
      </c>
      <c r="H17" s="34">
        <v>-1037.4329948425566</v>
      </c>
      <c r="I17" s="34">
        <v>480.60099063242023</v>
      </c>
      <c r="J17" s="34">
        <v>276.62854534580504</v>
      </c>
      <c r="K17" s="34">
        <v>-653.17038616428374</v>
      </c>
      <c r="L17" s="34">
        <v>1205.9753999144284</v>
      </c>
      <c r="M17" s="34">
        <v>553.03900772299539</v>
      </c>
      <c r="N17" s="34">
        <v>1614.0971293370526</v>
      </c>
      <c r="O17" s="34">
        <v>-158.23210994578039</v>
      </c>
      <c r="P17" s="34">
        <v>-789.10883486264333</v>
      </c>
      <c r="Q17" s="34">
        <v>-1012.2096284091314</v>
      </c>
      <c r="R17" s="34">
        <v>771.32440192461422</v>
      </c>
      <c r="S17" s="34">
        <v>-734.53445238502923</v>
      </c>
      <c r="T17" s="34">
        <v>683.88911469762581</v>
      </c>
      <c r="U17" s="34">
        <v>699.60253264627556</v>
      </c>
      <c r="V17" s="34">
        <v>-1433.2014480552921</v>
      </c>
      <c r="W17" s="34">
        <v>1490.3649193115793</v>
      </c>
      <c r="X17" s="34">
        <v>-449.48609396603661</v>
      </c>
      <c r="Y17" s="34">
        <v>-166.61510917545729</v>
      </c>
      <c r="Z17" s="34">
        <v>-2262.7466918302794</v>
      </c>
      <c r="AA17" s="34">
        <v>0</v>
      </c>
      <c r="AB17" s="34">
        <v>0</v>
      </c>
      <c r="AC17" s="34">
        <v>0</v>
      </c>
      <c r="AE17" s="34">
        <f t="shared" si="1"/>
        <v>3167.2871682666737</v>
      </c>
      <c r="AF17" s="34">
        <f t="shared" si="1"/>
        <v>-2040.4521374456604</v>
      </c>
      <c r="AG17" s="34">
        <f t="shared" si="1"/>
        <v>1382.4725668189451</v>
      </c>
      <c r="AH17" s="34">
        <f t="shared" si="1"/>
        <v>-345.4534438805025</v>
      </c>
      <c r="AI17" s="34">
        <f t="shared" si="1"/>
        <v>1420.2815968834864</v>
      </c>
      <c r="AJ17" s="34">
        <f t="shared" si="1"/>
        <v>-558.93773188520663</v>
      </c>
      <c r="AK17" s="34">
        <f t="shared" si="1"/>
        <v>-2262.7466918302794</v>
      </c>
    </row>
    <row r="18" spans="1:37">
      <c r="A18" s="30" t="s">
        <v>88</v>
      </c>
      <c r="B18" s="34">
        <v>9278.5299322106002</v>
      </c>
      <c r="C18" s="34">
        <v>-8543.0657285070502</v>
      </c>
      <c r="D18" s="34">
        <v>5380.2368338639099</v>
      </c>
      <c r="E18" s="34">
        <v>8800.1419354161008</v>
      </c>
      <c r="F18" s="34">
        <v>-300.95328234650589</v>
      </c>
      <c r="G18" s="34">
        <v>3219</v>
      </c>
      <c r="H18" s="34">
        <v>-635.651652347972</v>
      </c>
      <c r="I18" s="34">
        <v>9132</v>
      </c>
      <c r="J18" s="34">
        <v>5682.5286439082265</v>
      </c>
      <c r="K18" s="34">
        <v>-11293.649815651515</v>
      </c>
      <c r="L18" s="34">
        <v>-5593.6662235669501</v>
      </c>
      <c r="M18" s="34">
        <v>18298.431457456005</v>
      </c>
      <c r="N18" s="34">
        <v>13345.319854047048</v>
      </c>
      <c r="O18" s="34">
        <v>-1354.1383279814627</v>
      </c>
      <c r="P18" s="34">
        <v>-4718.8356582283759</v>
      </c>
      <c r="Q18" s="34">
        <v>-247.25945774069805</v>
      </c>
      <c r="R18" s="34">
        <v>7580.9568609214366</v>
      </c>
      <c r="S18" s="34">
        <v>-14978.870650651534</v>
      </c>
      <c r="T18" s="34">
        <v>-6449.2432279143231</v>
      </c>
      <c r="U18" s="34">
        <v>-946.77047854556486</v>
      </c>
      <c r="V18" s="34">
        <v>5569.8546283352753</v>
      </c>
      <c r="W18" s="34">
        <v>-17084.355553134294</v>
      </c>
      <c r="X18" s="34">
        <v>-7698.6317188571957</v>
      </c>
      <c r="Y18" s="34">
        <v>25563.269978084969</v>
      </c>
      <c r="Z18" s="34">
        <v>-26143.178991728862</v>
      </c>
      <c r="AA18" s="34">
        <v>0</v>
      </c>
      <c r="AB18" s="34">
        <v>0</v>
      </c>
      <c r="AC18" s="34">
        <v>0</v>
      </c>
      <c r="AE18" s="34">
        <f t="shared" si="1"/>
        <v>14915.842972983561</v>
      </c>
      <c r="AF18" s="34">
        <f t="shared" si="1"/>
        <v>11414.395065305522</v>
      </c>
      <c r="AG18" s="34">
        <f t="shared" si="1"/>
        <v>7093.6440621457659</v>
      </c>
      <c r="AH18" s="34">
        <f t="shared" si="1"/>
        <v>7025.0864100965118</v>
      </c>
      <c r="AI18" s="34">
        <f t="shared" si="1"/>
        <v>-14793.927496189985</v>
      </c>
      <c r="AJ18" s="34">
        <f t="shared" si="1"/>
        <v>6350.1373344287531</v>
      </c>
      <c r="AK18" s="34">
        <f t="shared" si="1"/>
        <v>-26143.178991728862</v>
      </c>
    </row>
    <row r="19" spans="1:37" s="45" customFormat="1">
      <c r="A19" s="33" t="s">
        <v>90</v>
      </c>
      <c r="B19" s="39">
        <f>SUM(B6:B18)</f>
        <v>7496.3372877400925</v>
      </c>
      <c r="C19" s="39">
        <f t="shared" ref="C19:U19" si="2">SUM(C6:C18)</f>
        <v>39643.96722486653</v>
      </c>
      <c r="D19" s="39">
        <f t="shared" si="2"/>
        <v>16395.105520933415</v>
      </c>
      <c r="E19" s="39">
        <f t="shared" si="2"/>
        <v>35641.323567442603</v>
      </c>
      <c r="F19" s="39">
        <f t="shared" si="2"/>
        <v>552.76890239766931</v>
      </c>
      <c r="G19" s="39">
        <f t="shared" si="2"/>
        <v>23823.272281416717</v>
      </c>
      <c r="H19" s="39">
        <f t="shared" si="2"/>
        <v>12528.068200911359</v>
      </c>
      <c r="I19" s="39">
        <f t="shared" si="2"/>
        <v>32836.275797857714</v>
      </c>
      <c r="J19" s="39">
        <f t="shared" si="2"/>
        <v>-399.69201421503658</v>
      </c>
      <c r="K19" s="39">
        <f t="shared" si="2"/>
        <v>12992.257097252303</v>
      </c>
      <c r="L19" s="39">
        <f t="shared" si="2"/>
        <v>22024.563730384667</v>
      </c>
      <c r="M19" s="39">
        <f t="shared" si="2"/>
        <v>41410.981334916214</v>
      </c>
      <c r="N19" s="39">
        <f t="shared" si="2"/>
        <v>7878.6512757410237</v>
      </c>
      <c r="O19" s="39">
        <f t="shared" si="2"/>
        <v>33008.399544447166</v>
      </c>
      <c r="P19" s="39">
        <f t="shared" si="2"/>
        <v>-2328.0250967337561</v>
      </c>
      <c r="Q19" s="39">
        <f t="shared" si="2"/>
        <v>57150.006513246706</v>
      </c>
      <c r="R19" s="39">
        <f t="shared" si="2"/>
        <v>-6532.3127682888899</v>
      </c>
      <c r="S19" s="39">
        <f t="shared" si="2"/>
        <v>28010.639013982251</v>
      </c>
      <c r="T19" s="39">
        <f t="shared" si="2"/>
        <v>6981.2493289276772</v>
      </c>
      <c r="U19" s="39">
        <f t="shared" si="2"/>
        <v>45283.407086692852</v>
      </c>
      <c r="V19" s="39">
        <f t="shared" ref="V19:Y19" si="3">SUM(V6:V18)</f>
        <v>-4760.5807133541057</v>
      </c>
      <c r="W19" s="39">
        <f t="shared" si="3"/>
        <v>20773.824464079051</v>
      </c>
      <c r="X19" s="39">
        <f t="shared" si="3"/>
        <v>-7221.3229585621875</v>
      </c>
      <c r="Y19" s="39">
        <f t="shared" si="3"/>
        <v>53424.578210384236</v>
      </c>
      <c r="Z19" s="39">
        <f t="shared" ref="Z19:AE19" si="4">SUM(Z6:Z18)</f>
        <v>-25813.102544342222</v>
      </c>
      <c r="AA19" s="39">
        <f t="shared" si="4"/>
        <v>0</v>
      </c>
      <c r="AB19" s="39">
        <f t="shared" si="4"/>
        <v>0</v>
      </c>
      <c r="AC19" s="39">
        <f t="shared" si="4"/>
        <v>0</v>
      </c>
      <c r="AE19" s="39">
        <f t="shared" si="4"/>
        <v>99176.733600982654</v>
      </c>
      <c r="AF19" s="39">
        <f t="shared" ref="AF19:AK19" si="5">SUM(AF6:AF18)</f>
        <v>69740.385182583472</v>
      </c>
      <c r="AG19" s="39">
        <f t="shared" si="5"/>
        <v>76028.110148338164</v>
      </c>
      <c r="AH19" s="39">
        <f t="shared" si="5"/>
        <v>95709.032236701139</v>
      </c>
      <c r="AI19" s="39">
        <f t="shared" si="5"/>
        <v>73742.982661313916</v>
      </c>
      <c r="AJ19" s="39">
        <f t="shared" si="5"/>
        <v>62216.499002547003</v>
      </c>
      <c r="AK19" s="39">
        <f t="shared" si="5"/>
        <v>-25813.102544342222</v>
      </c>
    </row>
    <row r="20" spans="1:3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E20" s="30"/>
      <c r="AF20" s="30"/>
      <c r="AG20" s="30"/>
      <c r="AH20" s="30"/>
      <c r="AI20" s="30"/>
      <c r="AJ20" s="30"/>
      <c r="AK20" s="30"/>
    </row>
    <row r="21" spans="1:37">
      <c r="A21" s="30" t="s">
        <v>91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1055.21</v>
      </c>
      <c r="L21" s="34">
        <v>0</v>
      </c>
      <c r="M21" s="34">
        <v>0</v>
      </c>
      <c r="N21" s="34">
        <v>304</v>
      </c>
      <c r="O21" s="34">
        <v>28.100000000000023</v>
      </c>
      <c r="P21" s="34">
        <v>0</v>
      </c>
      <c r="Q21" s="34">
        <v>25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E21" s="34">
        <f t="shared" ref="AE21:AK24" si="6">SUMIFS($B21:$AC21,$B$3:$AC$3,AE$3)</f>
        <v>0</v>
      </c>
      <c r="AF21" s="34">
        <f t="shared" si="6"/>
        <v>0</v>
      </c>
      <c r="AG21" s="34">
        <f t="shared" si="6"/>
        <v>1055.21</v>
      </c>
      <c r="AH21" s="34">
        <f t="shared" si="6"/>
        <v>357.1</v>
      </c>
      <c r="AI21" s="34">
        <f t="shared" si="6"/>
        <v>0</v>
      </c>
      <c r="AJ21" s="34">
        <f t="shared" si="6"/>
        <v>0</v>
      </c>
      <c r="AK21" s="34">
        <f t="shared" si="6"/>
        <v>0</v>
      </c>
    </row>
    <row r="22" spans="1:37">
      <c r="A22" s="30" t="s">
        <v>184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1661.703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E22" s="34">
        <f t="shared" si="6"/>
        <v>0</v>
      </c>
      <c r="AF22" s="34">
        <f t="shared" si="6"/>
        <v>0</v>
      </c>
      <c r="AG22" s="34">
        <f t="shared" si="6"/>
        <v>0</v>
      </c>
      <c r="AH22" s="34">
        <f t="shared" si="6"/>
        <v>0</v>
      </c>
      <c r="AI22" s="34">
        <f t="shared" si="6"/>
        <v>1661.703</v>
      </c>
      <c r="AJ22" s="34">
        <f t="shared" si="6"/>
        <v>0</v>
      </c>
      <c r="AK22" s="34">
        <f t="shared" si="6"/>
        <v>0</v>
      </c>
    </row>
    <row r="23" spans="1:37">
      <c r="A23" s="30" t="s">
        <v>92</v>
      </c>
      <c r="B23" s="34">
        <v>-1095</v>
      </c>
      <c r="C23" s="34">
        <v>-972</v>
      </c>
      <c r="D23" s="34">
        <v>-1159</v>
      </c>
      <c r="E23" s="34">
        <v>-1416</v>
      </c>
      <c r="F23" s="34">
        <v>-774.82122312931904</v>
      </c>
      <c r="G23" s="34">
        <v>-1465</v>
      </c>
      <c r="H23" s="34">
        <v>-2731.3012375675598</v>
      </c>
      <c r="I23" s="34">
        <v>-2521.3144481913778</v>
      </c>
      <c r="J23" s="34">
        <v>-1196.2052278100591</v>
      </c>
      <c r="K23" s="34">
        <v>-2557.4152169421395</v>
      </c>
      <c r="L23" s="34">
        <v>-1583.8960471325499</v>
      </c>
      <c r="M23" s="34">
        <v>-1165.8795863369951</v>
      </c>
      <c r="N23" s="34">
        <v>-1833.4261950123646</v>
      </c>
      <c r="O23" s="34">
        <v>-1528.5704083424093</v>
      </c>
      <c r="P23" s="34">
        <v>-5773.1601090757658</v>
      </c>
      <c r="Q23" s="34">
        <v>-1773.277649025315</v>
      </c>
      <c r="R23" s="34">
        <v>-522.51786098654918</v>
      </c>
      <c r="S23" s="34">
        <v>-250.51558668165728</v>
      </c>
      <c r="T23" s="34">
        <v>-908.67731791511676</v>
      </c>
      <c r="U23" s="34">
        <v>-1324.1756714470298</v>
      </c>
      <c r="V23" s="34">
        <v>-957.09405551458212</v>
      </c>
      <c r="W23" s="34">
        <v>-672.85691855919004</v>
      </c>
      <c r="X23" s="34">
        <v>-1023.1104115313274</v>
      </c>
      <c r="Y23" s="34">
        <v>-1389.8564828386393</v>
      </c>
      <c r="Z23" s="34">
        <v>-676.83721579754001</v>
      </c>
      <c r="AA23" s="34">
        <v>0</v>
      </c>
      <c r="AB23" s="34">
        <v>0</v>
      </c>
      <c r="AC23" s="34">
        <v>0</v>
      </c>
      <c r="AE23" s="34">
        <f t="shared" si="6"/>
        <v>-4642</v>
      </c>
      <c r="AF23" s="34">
        <f t="shared" si="6"/>
        <v>-7492.4369088882568</v>
      </c>
      <c r="AG23" s="34">
        <f t="shared" si="6"/>
        <v>-6503.3960782217437</v>
      </c>
      <c r="AH23" s="34">
        <f t="shared" si="6"/>
        <v>-10908.434361455855</v>
      </c>
      <c r="AI23" s="34">
        <f t="shared" si="6"/>
        <v>-3005.8864370303531</v>
      </c>
      <c r="AJ23" s="34">
        <f t="shared" si="6"/>
        <v>-4042.9178684437388</v>
      </c>
      <c r="AK23" s="34">
        <f t="shared" si="6"/>
        <v>-676.83721579754001</v>
      </c>
    </row>
    <row r="24" spans="1:37">
      <c r="A24" s="30" t="s">
        <v>93</v>
      </c>
      <c r="B24" s="34">
        <v>-2679</v>
      </c>
      <c r="C24" s="34">
        <v>-2969</v>
      </c>
      <c r="D24" s="34">
        <v>-3307</v>
      </c>
      <c r="E24" s="34">
        <v>-3410</v>
      </c>
      <c r="F24" s="34">
        <v>-6531.06005</v>
      </c>
      <c r="G24" s="34">
        <v>-9889.7061099999992</v>
      </c>
      <c r="H24" s="34">
        <v>-3646.5731500000002</v>
      </c>
      <c r="I24" s="34">
        <v>-5229.5922799999998</v>
      </c>
      <c r="J24" s="34">
        <v>-2854.4624200000007</v>
      </c>
      <c r="K24" s="34">
        <v>-2428.7574999999997</v>
      </c>
      <c r="L24" s="34">
        <v>-2066.8270000000002</v>
      </c>
      <c r="M24" s="34">
        <v>-2423.281500000001</v>
      </c>
      <c r="N24" s="34">
        <v>-2408.2745</v>
      </c>
      <c r="O24" s="34">
        <v>-2176.1175099999996</v>
      </c>
      <c r="P24" s="34">
        <v>-2173.6203600000003</v>
      </c>
      <c r="Q24" s="34">
        <v>-2111.7523199999991</v>
      </c>
      <c r="R24" s="34">
        <v>-2372.9989599999999</v>
      </c>
      <c r="S24" s="34">
        <v>-1636.7309</v>
      </c>
      <c r="T24" s="34">
        <v>-1569.8325799999998</v>
      </c>
      <c r="U24" s="34">
        <v>-1841.4501799999998</v>
      </c>
      <c r="V24" s="34">
        <v>-2008.46432</v>
      </c>
      <c r="W24" s="34">
        <v>-1984.7880999999998</v>
      </c>
      <c r="X24" s="34">
        <v>-2870.0200999999997</v>
      </c>
      <c r="Y24" s="34">
        <v>-2021.3685000000014</v>
      </c>
      <c r="Z24" s="34">
        <v>-2888.757318984</v>
      </c>
      <c r="AA24" s="34">
        <v>0</v>
      </c>
      <c r="AB24" s="34">
        <v>0</v>
      </c>
      <c r="AC24" s="34">
        <v>0</v>
      </c>
      <c r="AE24" s="34">
        <f t="shared" si="6"/>
        <v>-12365</v>
      </c>
      <c r="AF24" s="34">
        <f t="shared" si="6"/>
        <v>-25296.93159</v>
      </c>
      <c r="AG24" s="34">
        <f t="shared" si="6"/>
        <v>-9773.3284200000016</v>
      </c>
      <c r="AH24" s="34">
        <f t="shared" si="6"/>
        <v>-8869.76469</v>
      </c>
      <c r="AI24" s="34">
        <f t="shared" si="6"/>
        <v>-7421.0126199999995</v>
      </c>
      <c r="AJ24" s="34">
        <f t="shared" si="6"/>
        <v>-8884.6410200000009</v>
      </c>
      <c r="AK24" s="34">
        <f t="shared" si="6"/>
        <v>-2888.757318984</v>
      </c>
    </row>
    <row r="25" spans="1:37" s="45" customFormat="1">
      <c r="A25" s="33" t="s">
        <v>94</v>
      </c>
      <c r="B25" s="39">
        <f t="shared" ref="B25:U25" si="7">SUM(B21:B24)</f>
        <v>-3774</v>
      </c>
      <c r="C25" s="39">
        <f t="shared" si="7"/>
        <v>-3941</v>
      </c>
      <c r="D25" s="39">
        <f t="shared" si="7"/>
        <v>-4466</v>
      </c>
      <c r="E25" s="39">
        <f t="shared" si="7"/>
        <v>-4826</v>
      </c>
      <c r="F25" s="39">
        <f t="shared" si="7"/>
        <v>-7305.8812731293192</v>
      </c>
      <c r="G25" s="39">
        <f t="shared" si="7"/>
        <v>-11354.706109999999</v>
      </c>
      <c r="H25" s="39">
        <f t="shared" si="7"/>
        <v>-6377.87438756756</v>
      </c>
      <c r="I25" s="39">
        <f t="shared" si="7"/>
        <v>-7750.9067281913776</v>
      </c>
      <c r="J25" s="39">
        <f t="shared" si="7"/>
        <v>-4050.6676478100599</v>
      </c>
      <c r="K25" s="39">
        <f t="shared" si="7"/>
        <v>-3930.9627169421392</v>
      </c>
      <c r="L25" s="39">
        <f t="shared" si="7"/>
        <v>-3650.7230471325502</v>
      </c>
      <c r="M25" s="39">
        <f t="shared" si="7"/>
        <v>-3589.161086336996</v>
      </c>
      <c r="N25" s="39">
        <f t="shared" si="7"/>
        <v>-3937.7006950123646</v>
      </c>
      <c r="O25" s="39">
        <f t="shared" si="7"/>
        <v>-3676.587918342409</v>
      </c>
      <c r="P25" s="39">
        <f t="shared" si="7"/>
        <v>-7946.7804690757657</v>
      </c>
      <c r="Q25" s="39">
        <f t="shared" si="7"/>
        <v>-3860.0299690253141</v>
      </c>
      <c r="R25" s="39">
        <f t="shared" si="7"/>
        <v>-2895.5168209865492</v>
      </c>
      <c r="S25" s="39">
        <f t="shared" si="7"/>
        <v>-1887.2464866816572</v>
      </c>
      <c r="T25" s="39">
        <f t="shared" si="7"/>
        <v>-2478.5098979151167</v>
      </c>
      <c r="U25" s="39">
        <f t="shared" si="7"/>
        <v>-1503.9228514470296</v>
      </c>
      <c r="V25" s="39">
        <f t="shared" ref="V25:Y25" si="8">SUM(V21:V24)</f>
        <v>-2965.5583755145822</v>
      </c>
      <c r="W25" s="39">
        <f t="shared" si="8"/>
        <v>-2657.6450185591898</v>
      </c>
      <c r="X25" s="39">
        <f t="shared" si="8"/>
        <v>-3893.1305115313271</v>
      </c>
      <c r="Y25" s="39">
        <f t="shared" si="8"/>
        <v>-3411.2249828386407</v>
      </c>
      <c r="Z25" s="39">
        <f t="shared" ref="Z25:AE25" si="9">SUM(Z21:Z24)</f>
        <v>-3565.59453478154</v>
      </c>
      <c r="AA25" s="39">
        <f t="shared" si="9"/>
        <v>0</v>
      </c>
      <c r="AB25" s="39">
        <f t="shared" si="9"/>
        <v>0</v>
      </c>
      <c r="AC25" s="39">
        <f t="shared" si="9"/>
        <v>0</v>
      </c>
      <c r="AE25" s="39">
        <f t="shared" si="9"/>
        <v>-17007</v>
      </c>
      <c r="AF25" s="39">
        <f t="shared" ref="AF25:AK25" si="10">SUM(AF21:AF24)</f>
        <v>-32789.36849888826</v>
      </c>
      <c r="AG25" s="39">
        <f t="shared" si="10"/>
        <v>-15221.514498221746</v>
      </c>
      <c r="AH25" s="39">
        <f t="shared" si="10"/>
        <v>-19421.099051455854</v>
      </c>
      <c r="AI25" s="39">
        <f t="shared" si="10"/>
        <v>-8765.1960570303527</v>
      </c>
      <c r="AJ25" s="39">
        <f t="shared" si="10"/>
        <v>-12927.55888844374</v>
      </c>
      <c r="AK25" s="39">
        <f t="shared" si="10"/>
        <v>-3565.59453478154</v>
      </c>
    </row>
    <row r="26" spans="1:37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37">
      <c r="A27" s="30" t="s">
        <v>95</v>
      </c>
      <c r="B27" s="34">
        <v>-576.15606576000005</v>
      </c>
      <c r="C27" s="34">
        <v>-17666.016065759999</v>
      </c>
      <c r="D27" s="34">
        <v>0</v>
      </c>
      <c r="E27" s="34">
        <v>0</v>
      </c>
      <c r="F27" s="34">
        <v>0</v>
      </c>
      <c r="G27" s="34">
        <v>-23522.359499999999</v>
      </c>
      <c r="H27" s="34">
        <v>0</v>
      </c>
      <c r="I27" s="34">
        <v>0</v>
      </c>
      <c r="J27" s="34">
        <v>-621.24800000000005</v>
      </c>
      <c r="K27" s="34">
        <v>0</v>
      </c>
      <c r="L27" s="34">
        <v>0</v>
      </c>
      <c r="M27" s="34">
        <v>-8465.1</v>
      </c>
      <c r="N27" s="34">
        <v>-79.5</v>
      </c>
      <c r="O27" s="34">
        <v>0</v>
      </c>
      <c r="P27" s="34">
        <v>0</v>
      </c>
      <c r="Q27" s="34">
        <v>-11793.78867</v>
      </c>
      <c r="R27" s="34">
        <v>0</v>
      </c>
      <c r="S27" s="34">
        <v>0</v>
      </c>
      <c r="T27" s="34">
        <v>0</v>
      </c>
      <c r="U27" s="34">
        <v>0</v>
      </c>
      <c r="V27" s="34">
        <v>-4836.4749999999995</v>
      </c>
      <c r="W27" s="34">
        <v>0</v>
      </c>
      <c r="X27" s="34">
        <v>0</v>
      </c>
      <c r="Y27" s="34">
        <v>0</v>
      </c>
      <c r="Z27" s="34">
        <v>-6445.4</v>
      </c>
      <c r="AA27" s="34">
        <v>0</v>
      </c>
      <c r="AB27" s="34">
        <v>0</v>
      </c>
      <c r="AC27" s="34">
        <v>0</v>
      </c>
      <c r="AE27" s="34">
        <f t="shared" ref="AE27:AK36" si="11">SUMIFS($B27:$AC27,$B$3:$AC$3,AE$3)</f>
        <v>-18242.172131519997</v>
      </c>
      <c r="AF27" s="34">
        <f t="shared" si="11"/>
        <v>-23522.359499999999</v>
      </c>
      <c r="AG27" s="34">
        <f t="shared" si="11"/>
        <v>-9086.348</v>
      </c>
      <c r="AH27" s="34">
        <f t="shared" si="11"/>
        <v>-11873.28867</v>
      </c>
      <c r="AI27" s="34">
        <f t="shared" si="11"/>
        <v>0</v>
      </c>
      <c r="AJ27" s="34">
        <f t="shared" si="11"/>
        <v>-4836.4749999999995</v>
      </c>
      <c r="AK27" s="34">
        <f t="shared" si="11"/>
        <v>-6445.4</v>
      </c>
    </row>
    <row r="28" spans="1:37">
      <c r="A28" s="30" t="s">
        <v>96</v>
      </c>
      <c r="B28" s="34">
        <v>0</v>
      </c>
      <c r="C28" s="34">
        <v>2264.2152000000001</v>
      </c>
      <c r="D28" s="34">
        <v>3624.2339999999999</v>
      </c>
      <c r="E28" s="34">
        <v>2064.9989999999998</v>
      </c>
      <c r="F28" s="34">
        <v>0</v>
      </c>
      <c r="G28" s="34">
        <v>8427.37925</v>
      </c>
      <c r="H28" s="34">
        <v>0</v>
      </c>
      <c r="I28" s="34">
        <v>0</v>
      </c>
      <c r="J28" s="34">
        <v>0</v>
      </c>
      <c r="K28" s="34">
        <v>6559.1074699999999</v>
      </c>
      <c r="L28" s="34">
        <v>0</v>
      </c>
      <c r="M28" s="34">
        <v>0</v>
      </c>
      <c r="N28" s="34">
        <v>6237.4189999999999</v>
      </c>
      <c r="O28" s="34">
        <v>0</v>
      </c>
      <c r="P28" s="34">
        <v>0</v>
      </c>
      <c r="Q28" s="34">
        <v>0</v>
      </c>
      <c r="R28" s="34">
        <v>0</v>
      </c>
      <c r="S28" s="34">
        <v>4852.7520000000004</v>
      </c>
      <c r="T28" s="34">
        <v>0</v>
      </c>
      <c r="U28" s="34">
        <v>0</v>
      </c>
      <c r="V28" s="34">
        <v>4450.7965700000004</v>
      </c>
      <c r="W28" s="34">
        <v>0</v>
      </c>
      <c r="X28" s="34">
        <v>0</v>
      </c>
      <c r="Y28" s="34">
        <v>0</v>
      </c>
      <c r="Z28" s="34">
        <v>1543.7226000000001</v>
      </c>
      <c r="AA28" s="34">
        <v>0</v>
      </c>
      <c r="AB28" s="34">
        <v>0</v>
      </c>
      <c r="AC28" s="34">
        <v>0</v>
      </c>
      <c r="AE28" s="34">
        <f t="shared" si="11"/>
        <v>7953.4481999999998</v>
      </c>
      <c r="AF28" s="34">
        <f t="shared" si="11"/>
        <v>8427.37925</v>
      </c>
      <c r="AG28" s="34">
        <f t="shared" si="11"/>
        <v>6559.1074699999999</v>
      </c>
      <c r="AH28" s="34">
        <f t="shared" si="11"/>
        <v>6237.4189999999999</v>
      </c>
      <c r="AI28" s="34">
        <f t="shared" si="11"/>
        <v>4852.7520000000004</v>
      </c>
      <c r="AJ28" s="34">
        <f t="shared" si="11"/>
        <v>4450.7965700000004</v>
      </c>
      <c r="AK28" s="34">
        <f t="shared" si="11"/>
        <v>1543.7226000000001</v>
      </c>
    </row>
    <row r="29" spans="1:37">
      <c r="A29" s="30" t="s">
        <v>141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-977.60599999999999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E29" s="34">
        <f t="shared" si="11"/>
        <v>0</v>
      </c>
      <c r="AF29" s="34">
        <f t="shared" si="11"/>
        <v>-977.60599999999999</v>
      </c>
      <c r="AG29" s="34">
        <f t="shared" si="11"/>
        <v>0</v>
      </c>
      <c r="AH29" s="34">
        <f t="shared" si="11"/>
        <v>0</v>
      </c>
      <c r="AI29" s="34">
        <f t="shared" si="11"/>
        <v>0</v>
      </c>
      <c r="AJ29" s="34">
        <f t="shared" si="11"/>
        <v>0</v>
      </c>
      <c r="AK29" s="34">
        <f t="shared" si="11"/>
        <v>0</v>
      </c>
    </row>
    <row r="30" spans="1:37">
      <c r="A30" s="30" t="s">
        <v>142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3951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267.40764000000001</v>
      </c>
      <c r="P30" s="34">
        <v>0</v>
      </c>
      <c r="Q30" s="34">
        <v>2675.4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E30" s="34">
        <f t="shared" si="11"/>
        <v>0</v>
      </c>
      <c r="AF30" s="34">
        <f t="shared" si="11"/>
        <v>3951</v>
      </c>
      <c r="AG30" s="34">
        <f t="shared" si="11"/>
        <v>0</v>
      </c>
      <c r="AH30" s="34">
        <f t="shared" si="11"/>
        <v>2942.80764</v>
      </c>
      <c r="AI30" s="34">
        <f t="shared" si="11"/>
        <v>0</v>
      </c>
      <c r="AJ30" s="34">
        <f t="shared" si="11"/>
        <v>0</v>
      </c>
      <c r="AK30" s="34">
        <f t="shared" si="11"/>
        <v>0</v>
      </c>
    </row>
    <row r="31" spans="1:37">
      <c r="A31" s="30" t="s">
        <v>97</v>
      </c>
      <c r="B31" s="34">
        <v>-5579.8865745577205</v>
      </c>
      <c r="C31" s="34">
        <v>-6833.6558145577201</v>
      </c>
      <c r="D31" s="34">
        <v>-5703.9434885810469</v>
      </c>
      <c r="E31" s="34">
        <v>-4490.7461845548405</v>
      </c>
      <c r="F31" s="34">
        <v>-7350</v>
      </c>
      <c r="G31" s="34">
        <v>-4281</v>
      </c>
      <c r="H31" s="34">
        <v>-2850</v>
      </c>
      <c r="I31" s="34">
        <v>-3051.5</v>
      </c>
      <c r="J31" s="34">
        <v>-3794.4021699213004</v>
      </c>
      <c r="K31" s="34">
        <v>-3938.7761946233136</v>
      </c>
      <c r="L31" s="34">
        <v>-3952.8178612899801</v>
      </c>
      <c r="M31" s="34">
        <v>-3851.3906485479315</v>
      </c>
      <c r="N31" s="34">
        <v>-3273.5426138723401</v>
      </c>
      <c r="O31" s="34">
        <v>-3480.1499836045396</v>
      </c>
      <c r="P31" s="34">
        <v>-4201.8694730790903</v>
      </c>
      <c r="Q31" s="34">
        <v>-4251.4298915184499</v>
      </c>
      <c r="R31" s="34">
        <v>-4257.59876030751</v>
      </c>
      <c r="S31" s="34">
        <v>-4337.5920681411098</v>
      </c>
      <c r="T31" s="34">
        <v>-4348.1753272817896</v>
      </c>
      <c r="U31" s="34">
        <v>-4364.7167766257435</v>
      </c>
      <c r="V31" s="34">
        <v>-4364.7167766257435</v>
      </c>
      <c r="W31" s="34">
        <v>-4373.0343787762804</v>
      </c>
      <c r="X31" s="34">
        <v>-4361.4910174306915</v>
      </c>
      <c r="Y31" s="34">
        <v>-4376.5306441723815</v>
      </c>
      <c r="Z31" s="34">
        <v>-4328.2892898872196</v>
      </c>
      <c r="AA31" s="34">
        <v>0</v>
      </c>
      <c r="AB31" s="34">
        <v>0</v>
      </c>
      <c r="AC31" s="34">
        <v>0</v>
      </c>
      <c r="AE31" s="34">
        <f t="shared" si="11"/>
        <v>-22608.232062251329</v>
      </c>
      <c r="AF31" s="34">
        <f t="shared" si="11"/>
        <v>-17532.5</v>
      </c>
      <c r="AG31" s="34">
        <f t="shared" si="11"/>
        <v>-15537.386874382526</v>
      </c>
      <c r="AH31" s="34">
        <f t="shared" si="11"/>
        <v>-15206.99196207442</v>
      </c>
      <c r="AI31" s="34">
        <f t="shared" si="11"/>
        <v>-17308.082932356152</v>
      </c>
      <c r="AJ31" s="34">
        <f t="shared" si="11"/>
        <v>-17475.772817005098</v>
      </c>
      <c r="AK31" s="34">
        <f t="shared" si="11"/>
        <v>-4328.2892898872196</v>
      </c>
    </row>
    <row r="32" spans="1:37">
      <c r="A32" s="30" t="s">
        <v>145</v>
      </c>
      <c r="B32" s="34">
        <v>0</v>
      </c>
      <c r="C32" s="34">
        <v>0</v>
      </c>
      <c r="D32" s="34">
        <v>0</v>
      </c>
      <c r="E32" s="34">
        <v>0</v>
      </c>
      <c r="F32" s="34">
        <v>903</v>
      </c>
      <c r="G32" s="34">
        <v>895</v>
      </c>
      <c r="H32" s="34">
        <v>907</v>
      </c>
      <c r="I32" s="34">
        <v>911.26609599999995</v>
      </c>
      <c r="J32" s="34">
        <v>940.6113600000001</v>
      </c>
      <c r="K32" s="34">
        <v>809.67716960000007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E32" s="34">
        <f t="shared" si="11"/>
        <v>0</v>
      </c>
      <c r="AF32" s="34">
        <f t="shared" si="11"/>
        <v>3616.2660959999998</v>
      </c>
      <c r="AG32" s="34">
        <f t="shared" si="11"/>
        <v>1750.2885296000002</v>
      </c>
      <c r="AH32" s="34">
        <f t="shared" si="11"/>
        <v>0</v>
      </c>
      <c r="AI32" s="34">
        <f t="shared" si="11"/>
        <v>0</v>
      </c>
      <c r="AJ32" s="34">
        <f t="shared" si="11"/>
        <v>0</v>
      </c>
      <c r="AK32" s="34">
        <f t="shared" si="11"/>
        <v>0</v>
      </c>
    </row>
    <row r="33" spans="1:37">
      <c r="A33" s="30" t="s">
        <v>152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5000</v>
      </c>
      <c r="Q33" s="34">
        <v>-250</v>
      </c>
      <c r="R33" s="34">
        <v>-250</v>
      </c>
      <c r="S33" s="34">
        <v>-250</v>
      </c>
      <c r="T33" s="34">
        <v>-250</v>
      </c>
      <c r="U33" s="34">
        <v>-250</v>
      </c>
      <c r="V33" s="34">
        <v>-250</v>
      </c>
      <c r="W33" s="34">
        <v>-250</v>
      </c>
      <c r="X33" s="34">
        <v>-250</v>
      </c>
      <c r="Y33" s="34">
        <v>-250</v>
      </c>
      <c r="Z33" s="34">
        <v>-250</v>
      </c>
      <c r="AA33" s="34">
        <v>0</v>
      </c>
      <c r="AB33" s="34">
        <v>0</v>
      </c>
      <c r="AC33" s="34">
        <v>0</v>
      </c>
      <c r="AE33" s="34">
        <f t="shared" si="11"/>
        <v>0</v>
      </c>
      <c r="AF33" s="34">
        <f t="shared" si="11"/>
        <v>0</v>
      </c>
      <c r="AG33" s="34">
        <f t="shared" si="11"/>
        <v>0</v>
      </c>
      <c r="AH33" s="34">
        <f t="shared" si="11"/>
        <v>4750</v>
      </c>
      <c r="AI33" s="34">
        <f t="shared" si="11"/>
        <v>-1000</v>
      </c>
      <c r="AJ33" s="34">
        <f t="shared" si="11"/>
        <v>-1000</v>
      </c>
      <c r="AK33" s="34">
        <f t="shared" si="11"/>
        <v>-250</v>
      </c>
    </row>
    <row r="34" spans="1:37">
      <c r="A34" s="30" t="s">
        <v>98</v>
      </c>
      <c r="B34" s="34">
        <v>0</v>
      </c>
      <c r="C34" s="34">
        <v>-16270.313400000001</v>
      </c>
      <c r="D34" s="34">
        <v>0</v>
      </c>
      <c r="E34" s="34">
        <v>-31692.9948</v>
      </c>
      <c r="F34" s="34">
        <v>0</v>
      </c>
      <c r="G34" s="34">
        <v>-19798</v>
      </c>
      <c r="H34" s="34">
        <v>0</v>
      </c>
      <c r="I34" s="34">
        <v>-8055.3</v>
      </c>
      <c r="J34" s="34">
        <v>0</v>
      </c>
      <c r="K34" s="34">
        <v>-16098.923599999998</v>
      </c>
      <c r="L34" s="34">
        <v>0</v>
      </c>
      <c r="M34" s="34">
        <v>-24352.506599999997</v>
      </c>
      <c r="N34" s="34">
        <v>0</v>
      </c>
      <c r="O34" s="34">
        <v>-24655.978199999998</v>
      </c>
      <c r="P34" s="34">
        <v>0</v>
      </c>
      <c r="Q34" s="34">
        <v>-32204.008099999999</v>
      </c>
      <c r="R34" s="34">
        <v>0</v>
      </c>
      <c r="S34" s="34">
        <v>-32416.125600000003</v>
      </c>
      <c r="T34" s="34">
        <v>0</v>
      </c>
      <c r="U34" s="34">
        <v>-16300.947199999999</v>
      </c>
      <c r="V34" s="34">
        <v>0</v>
      </c>
      <c r="W34" s="34">
        <v>-16339.8056</v>
      </c>
      <c r="X34" s="34">
        <v>0</v>
      </c>
      <c r="Y34" s="34">
        <v>-8171.4027999999998</v>
      </c>
      <c r="Z34" s="34">
        <v>0</v>
      </c>
      <c r="AA34" s="34">
        <v>0</v>
      </c>
      <c r="AB34" s="34">
        <v>0</v>
      </c>
      <c r="AC34" s="34">
        <v>0</v>
      </c>
      <c r="AE34" s="34">
        <f t="shared" si="11"/>
        <v>-47963.308199999999</v>
      </c>
      <c r="AF34" s="34">
        <f t="shared" si="11"/>
        <v>-27853.3</v>
      </c>
      <c r="AG34" s="34">
        <f t="shared" si="11"/>
        <v>-40451.430199999995</v>
      </c>
      <c r="AH34" s="34">
        <f t="shared" si="11"/>
        <v>-56859.986299999997</v>
      </c>
      <c r="AI34" s="34">
        <f t="shared" si="11"/>
        <v>-48717.072800000002</v>
      </c>
      <c r="AJ34" s="34">
        <f t="shared" si="11"/>
        <v>-24511.2084</v>
      </c>
      <c r="AK34" s="34">
        <f t="shared" si="11"/>
        <v>0</v>
      </c>
    </row>
    <row r="35" spans="1:37" s="45" customFormat="1">
      <c r="A35" s="33" t="s">
        <v>99</v>
      </c>
      <c r="B35" s="39">
        <f t="shared" ref="B35:U35" si="12">SUM(B27:B34)</f>
        <v>-6156.0426403177207</v>
      </c>
      <c r="C35" s="39">
        <f t="shared" si="12"/>
        <v>-38505.770080317721</v>
      </c>
      <c r="D35" s="39">
        <f t="shared" si="12"/>
        <v>-2079.709488581047</v>
      </c>
      <c r="E35" s="39">
        <f t="shared" si="12"/>
        <v>-34118.741984554843</v>
      </c>
      <c r="F35" s="39">
        <f t="shared" si="12"/>
        <v>-6447</v>
      </c>
      <c r="G35" s="39">
        <f t="shared" si="12"/>
        <v>-38278.980250000001</v>
      </c>
      <c r="H35" s="39">
        <f t="shared" si="12"/>
        <v>1030.3940000000002</v>
      </c>
      <c r="I35" s="39">
        <f t="shared" si="12"/>
        <v>-10195.533904</v>
      </c>
      <c r="J35" s="39">
        <f t="shared" si="12"/>
        <v>-3475.0388099213005</v>
      </c>
      <c r="K35" s="39">
        <f t="shared" si="12"/>
        <v>-12668.915155023311</v>
      </c>
      <c r="L35" s="39">
        <f t="shared" si="12"/>
        <v>-3952.8178612899801</v>
      </c>
      <c r="M35" s="39">
        <f t="shared" si="12"/>
        <v>-36668.99724854793</v>
      </c>
      <c r="N35" s="39">
        <f t="shared" si="12"/>
        <v>2884.3763861276598</v>
      </c>
      <c r="O35" s="39">
        <f t="shared" si="12"/>
        <v>-27868.720543604537</v>
      </c>
      <c r="P35" s="39">
        <f t="shared" si="12"/>
        <v>798.13052692090969</v>
      </c>
      <c r="Q35" s="39">
        <f t="shared" si="12"/>
        <v>-45823.826661518448</v>
      </c>
      <c r="R35" s="39">
        <f t="shared" si="12"/>
        <v>-4507.59876030751</v>
      </c>
      <c r="S35" s="39">
        <f t="shared" si="12"/>
        <v>-32150.965668141114</v>
      </c>
      <c r="T35" s="39">
        <f t="shared" si="12"/>
        <v>-4598.1753272817896</v>
      </c>
      <c r="U35" s="39">
        <f t="shared" si="12"/>
        <v>-20915.663976625743</v>
      </c>
      <c r="V35" s="39">
        <f t="shared" ref="V35:Y35" si="13">SUM(V27:V34)</f>
        <v>-5000.3952066257425</v>
      </c>
      <c r="W35" s="39">
        <f t="shared" si="13"/>
        <v>-20962.839978776279</v>
      </c>
      <c r="X35" s="39">
        <f t="shared" si="13"/>
        <v>-4611.4910174306915</v>
      </c>
      <c r="Y35" s="39">
        <f t="shared" si="13"/>
        <v>-12797.93344417238</v>
      </c>
      <c r="Z35" s="39">
        <f t="shared" ref="Z35:AE35" si="14">SUM(Z27:Z34)</f>
        <v>-9479.9666898872201</v>
      </c>
      <c r="AA35" s="39">
        <f t="shared" si="14"/>
        <v>0</v>
      </c>
      <c r="AB35" s="39">
        <f t="shared" si="14"/>
        <v>0</v>
      </c>
      <c r="AC35" s="39">
        <f t="shared" si="14"/>
        <v>0</v>
      </c>
      <c r="AE35" s="39">
        <f t="shared" si="14"/>
        <v>-80860.26419377132</v>
      </c>
      <c r="AF35" s="39">
        <f t="shared" ref="AF35:AK35" si="15">SUM(AF27:AF34)</f>
        <v>-53891.120154000004</v>
      </c>
      <c r="AG35" s="39">
        <f t="shared" si="15"/>
        <v>-56765.769074782518</v>
      </c>
      <c r="AH35" s="39">
        <f t="shared" si="15"/>
        <v>-70010.040292074409</v>
      </c>
      <c r="AI35" s="39">
        <f t="shared" si="15"/>
        <v>-62172.40373235615</v>
      </c>
      <c r="AJ35" s="39">
        <f t="shared" si="15"/>
        <v>-43372.659647005101</v>
      </c>
      <c r="AK35" s="39">
        <f t="shared" si="15"/>
        <v>-9479.9666898872201</v>
      </c>
    </row>
    <row r="36" spans="1:37">
      <c r="A36" s="30" t="s">
        <v>146</v>
      </c>
      <c r="B36" s="34">
        <v>1.5271345146977802</v>
      </c>
      <c r="C36" s="34">
        <v>1.0753184124222339</v>
      </c>
      <c r="D36" s="34">
        <v>1.1080557341582371</v>
      </c>
      <c r="E36" s="34">
        <v>0.22431284710171884</v>
      </c>
      <c r="F36" s="34">
        <v>-1</v>
      </c>
      <c r="G36" s="34">
        <v>0</v>
      </c>
      <c r="H36" s="34">
        <v>0</v>
      </c>
      <c r="I36" s="34">
        <v>0</v>
      </c>
      <c r="J36" s="34">
        <v>-0.84755080037541641</v>
      </c>
      <c r="K36" s="34">
        <v>1160.6206350812206</v>
      </c>
      <c r="L36" s="34">
        <v>-506.07953437342735</v>
      </c>
      <c r="M36" s="34">
        <v>-216.55116064440324</v>
      </c>
      <c r="N36" s="34">
        <v>981.52574006222994</v>
      </c>
      <c r="O36" s="34">
        <v>778.15057061981781</v>
      </c>
      <c r="P36" s="34">
        <v>-349.35374338323419</v>
      </c>
      <c r="Q36" s="34">
        <v>-413.11994327847526</v>
      </c>
      <c r="R36" s="34">
        <v>796.26963437704978</v>
      </c>
      <c r="S36" s="34">
        <v>-556.81336918508566</v>
      </c>
      <c r="T36" s="34">
        <v>407.39061879286481</v>
      </c>
      <c r="U36" s="34">
        <v>-28.993348831956666</v>
      </c>
      <c r="V36" s="34">
        <v>-790.73243123718544</v>
      </c>
      <c r="W36" s="34">
        <v>-442.8857654918001</v>
      </c>
      <c r="X36" s="34">
        <v>803.75405962713853</v>
      </c>
      <c r="Y36" s="34">
        <v>314.9026937957517</v>
      </c>
      <c r="Z36" s="34">
        <v>-1067.2890687712836</v>
      </c>
      <c r="AA36" s="34">
        <v>0</v>
      </c>
      <c r="AB36" s="34">
        <v>0</v>
      </c>
      <c r="AC36" s="34">
        <v>0</v>
      </c>
      <c r="AE36" s="34">
        <f t="shared" si="11"/>
        <v>3.93482150837997</v>
      </c>
      <c r="AF36" s="34">
        <f t="shared" si="11"/>
        <v>-1</v>
      </c>
      <c r="AG36" s="34">
        <f t="shared" si="11"/>
        <v>437.14238926301448</v>
      </c>
      <c r="AH36" s="34">
        <f t="shared" si="11"/>
        <v>997.20262402033825</v>
      </c>
      <c r="AI36" s="34">
        <f t="shared" si="11"/>
        <v>617.85353515287238</v>
      </c>
      <c r="AJ36" s="34">
        <f t="shared" si="11"/>
        <v>-114.96144330609536</v>
      </c>
      <c r="AK36" s="34">
        <f t="shared" si="11"/>
        <v>-1067.2890687712836</v>
      </c>
    </row>
    <row r="37" spans="1:37">
      <c r="A37" s="3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37" s="45" customFormat="1">
      <c r="A38" s="33" t="s">
        <v>100</v>
      </c>
      <c r="B38" s="39">
        <f t="shared" ref="B38:U38" si="16">SUM(B19,B25,B35,B36)</f>
        <v>-2432.1782180629302</v>
      </c>
      <c r="C38" s="39">
        <f t="shared" si="16"/>
        <v>-2801.7275370387688</v>
      </c>
      <c r="D38" s="39">
        <f t="shared" si="16"/>
        <v>9850.5040880865254</v>
      </c>
      <c r="E38" s="39">
        <f t="shared" si="16"/>
        <v>-3303.1941042651379</v>
      </c>
      <c r="F38" s="39">
        <f t="shared" si="16"/>
        <v>-13201.112370731651</v>
      </c>
      <c r="G38" s="39">
        <f t="shared" si="16"/>
        <v>-25810.414078583282</v>
      </c>
      <c r="H38" s="39">
        <f t="shared" si="16"/>
        <v>7180.5878133437991</v>
      </c>
      <c r="I38" s="39">
        <f t="shared" si="16"/>
        <v>14889.835165666336</v>
      </c>
      <c r="J38" s="39">
        <f t="shared" si="16"/>
        <v>-7926.2460227467727</v>
      </c>
      <c r="K38" s="39">
        <f t="shared" si="16"/>
        <v>-2447.0001396319276</v>
      </c>
      <c r="L38" s="39">
        <f t="shared" si="16"/>
        <v>13914.943287588711</v>
      </c>
      <c r="M38" s="39">
        <f t="shared" si="16"/>
        <v>936.27183938688734</v>
      </c>
      <c r="N38" s="39">
        <f t="shared" si="16"/>
        <v>7806.8527069185493</v>
      </c>
      <c r="O38" s="39">
        <f t="shared" si="16"/>
        <v>2241.2416531200388</v>
      </c>
      <c r="P38" s="39">
        <f t="shared" si="16"/>
        <v>-9826.0287822718456</v>
      </c>
      <c r="Q38" s="39">
        <f t="shared" si="16"/>
        <v>7053.0299394244676</v>
      </c>
      <c r="R38" s="39">
        <f t="shared" si="16"/>
        <v>-13139.1587152059</v>
      </c>
      <c r="S38" s="39">
        <f t="shared" si="16"/>
        <v>-6584.3865100256044</v>
      </c>
      <c r="T38" s="39">
        <f t="shared" si="16"/>
        <v>311.95472252363533</v>
      </c>
      <c r="U38" s="39">
        <f t="shared" si="16"/>
        <v>22834.82690978812</v>
      </c>
      <c r="V38" s="39">
        <f t="shared" ref="V38:Y38" si="17">SUM(V19,V25,V35,V36)</f>
        <v>-13517.266726731616</v>
      </c>
      <c r="W38" s="39">
        <f t="shared" si="17"/>
        <v>-3289.5462987482179</v>
      </c>
      <c r="X38" s="39">
        <f t="shared" si="17"/>
        <v>-14922.190427897067</v>
      </c>
      <c r="Y38" s="39">
        <f t="shared" si="17"/>
        <v>37530.322477168971</v>
      </c>
      <c r="Z38" s="39">
        <f t="shared" ref="Z38:AE38" si="18">SUM(Z19,Z25,Z35,Z36)</f>
        <v>-39925.952837782264</v>
      </c>
      <c r="AA38" s="39">
        <f t="shared" si="18"/>
        <v>0</v>
      </c>
      <c r="AB38" s="39">
        <f t="shared" si="18"/>
        <v>0</v>
      </c>
      <c r="AC38" s="39">
        <f t="shared" si="18"/>
        <v>0</v>
      </c>
      <c r="AE38" s="39">
        <f t="shared" si="18"/>
        <v>1313.4042287197144</v>
      </c>
      <c r="AF38" s="39">
        <f t="shared" ref="AF38:AK38" si="19">SUM(AF19,AF25,AF35,AF36)</f>
        <v>-16941.103470304792</v>
      </c>
      <c r="AG38" s="39">
        <f t="shared" si="19"/>
        <v>4477.9689645969147</v>
      </c>
      <c r="AH38" s="39">
        <f t="shared" si="19"/>
        <v>7275.0955171912183</v>
      </c>
      <c r="AI38" s="39">
        <f t="shared" si="19"/>
        <v>3423.2364070802896</v>
      </c>
      <c r="AJ38" s="39">
        <f t="shared" si="19"/>
        <v>5801.3190237920689</v>
      </c>
      <c r="AK38" s="39">
        <f t="shared" si="19"/>
        <v>-39925.952837782264</v>
      </c>
    </row>
    <row r="39" spans="1:37">
      <c r="A39" s="30" t="s">
        <v>101</v>
      </c>
      <c r="B39" s="34">
        <v>53084.764336203807</v>
      </c>
      <c r="C39" s="34">
        <f>+B40</f>
        <v>50652.586118140876</v>
      </c>
      <c r="D39" s="34">
        <f t="shared" ref="D39:T39" si="20">+C40</f>
        <v>47850.858581102104</v>
      </c>
      <c r="E39" s="34">
        <f t="shared" si="20"/>
        <v>57701.362669188631</v>
      </c>
      <c r="F39" s="34">
        <f t="shared" si="20"/>
        <v>54398.168564923493</v>
      </c>
      <c r="G39" s="34">
        <f t="shared" si="20"/>
        <v>41197.056194191842</v>
      </c>
      <c r="H39" s="34">
        <f t="shared" si="20"/>
        <v>15386.64211560856</v>
      </c>
      <c r="I39" s="34">
        <f t="shared" si="20"/>
        <v>22567.229928952358</v>
      </c>
      <c r="J39" s="34">
        <f t="shared" si="20"/>
        <v>37457.065094618694</v>
      </c>
      <c r="K39" s="34">
        <f t="shared" si="20"/>
        <v>29530.81907187192</v>
      </c>
      <c r="L39" s="34">
        <f t="shared" si="20"/>
        <v>27083.818932239992</v>
      </c>
      <c r="M39" s="34">
        <f t="shared" si="20"/>
        <v>40998.762219828699</v>
      </c>
      <c r="N39" s="34">
        <f t="shared" si="20"/>
        <v>41935.034059215584</v>
      </c>
      <c r="O39" s="34">
        <f t="shared" si="20"/>
        <v>49741.886766134136</v>
      </c>
      <c r="P39" s="34">
        <f t="shared" si="20"/>
        <v>51983.128419254172</v>
      </c>
      <c r="Q39" s="34">
        <f t="shared" si="20"/>
        <v>42157.099636982326</v>
      </c>
      <c r="R39" s="34">
        <f t="shared" si="20"/>
        <v>49210.129576406791</v>
      </c>
      <c r="S39" s="34">
        <f t="shared" si="20"/>
        <v>36070.970861200891</v>
      </c>
      <c r="T39" s="34">
        <f t="shared" si="20"/>
        <v>29486.584351175286</v>
      </c>
      <c r="U39" s="34">
        <f>+T40</f>
        <v>29798.539073698921</v>
      </c>
      <c r="V39" s="34">
        <f t="shared" ref="V39:Y39" si="21">+U40</f>
        <v>52632.365983487041</v>
      </c>
      <c r="W39" s="34">
        <f t="shared" si="21"/>
        <v>39115.099256755428</v>
      </c>
      <c r="X39" s="34">
        <f t="shared" si="21"/>
        <v>35825.552958007211</v>
      </c>
      <c r="Y39" s="34">
        <f t="shared" si="21"/>
        <v>20903.362530110142</v>
      </c>
      <c r="Z39" s="34">
        <f t="shared" ref="Z39" si="22">+Y40</f>
        <v>58433.685007279113</v>
      </c>
      <c r="AA39" s="34">
        <f t="shared" ref="AA39" si="23">+Z40</f>
        <v>18507.732169496849</v>
      </c>
      <c r="AB39" s="34">
        <f t="shared" ref="AB39" si="24">+AA40</f>
        <v>18507.732169496849</v>
      </c>
      <c r="AC39" s="34">
        <f t="shared" ref="AC39" si="25">+AB40</f>
        <v>18507.732169496849</v>
      </c>
      <c r="AE39" s="34">
        <f>B39</f>
        <v>53084.764336203807</v>
      </c>
      <c r="AF39" s="34">
        <f>+AE40</f>
        <v>54398.168564923522</v>
      </c>
      <c r="AG39" s="34">
        <f t="shared" ref="AG39:AK39" si="26">+AF40</f>
        <v>37457.065094618731</v>
      </c>
      <c r="AH39" s="34">
        <f t="shared" si="26"/>
        <v>41935.034059215643</v>
      </c>
      <c r="AI39" s="34">
        <f t="shared" si="26"/>
        <v>49210.129576406864</v>
      </c>
      <c r="AJ39" s="34">
        <f t="shared" si="26"/>
        <v>52632.365983487151</v>
      </c>
      <c r="AK39" s="34">
        <f t="shared" si="26"/>
        <v>58433.685007279222</v>
      </c>
    </row>
    <row r="40" spans="1:37" s="45" customFormat="1">
      <c r="A40" s="33" t="s">
        <v>102</v>
      </c>
      <c r="B40" s="39">
        <f>SUM(B38:B39)</f>
        <v>50652.586118140876</v>
      </c>
      <c r="C40" s="39">
        <f t="shared" ref="C40:T40" si="27">SUM(C38:C39)</f>
        <v>47850.858581102104</v>
      </c>
      <c r="D40" s="39">
        <f t="shared" si="27"/>
        <v>57701.362669188631</v>
      </c>
      <c r="E40" s="39">
        <f t="shared" si="27"/>
        <v>54398.168564923493</v>
      </c>
      <c r="F40" s="39">
        <f t="shared" si="27"/>
        <v>41197.056194191842</v>
      </c>
      <c r="G40" s="39">
        <f t="shared" si="27"/>
        <v>15386.64211560856</v>
      </c>
      <c r="H40" s="39">
        <f t="shared" si="27"/>
        <v>22567.229928952358</v>
      </c>
      <c r="I40" s="39">
        <f t="shared" si="27"/>
        <v>37457.065094618694</v>
      </c>
      <c r="J40" s="39">
        <f t="shared" si="27"/>
        <v>29530.81907187192</v>
      </c>
      <c r="K40" s="39">
        <f t="shared" si="27"/>
        <v>27083.818932239992</v>
      </c>
      <c r="L40" s="39">
        <f t="shared" si="27"/>
        <v>40998.762219828699</v>
      </c>
      <c r="M40" s="39">
        <f t="shared" si="27"/>
        <v>41935.034059215584</v>
      </c>
      <c r="N40" s="39">
        <f t="shared" si="27"/>
        <v>49741.886766134136</v>
      </c>
      <c r="O40" s="39">
        <f t="shared" si="27"/>
        <v>51983.128419254172</v>
      </c>
      <c r="P40" s="39">
        <f t="shared" si="27"/>
        <v>42157.099636982326</v>
      </c>
      <c r="Q40" s="39">
        <f t="shared" si="27"/>
        <v>49210.129576406791</v>
      </c>
      <c r="R40" s="39">
        <f>SUM(R38:R39)</f>
        <v>36070.970861200891</v>
      </c>
      <c r="S40" s="39">
        <f>SUM(S38:S39)</f>
        <v>29486.584351175286</v>
      </c>
      <c r="T40" s="39">
        <f t="shared" si="27"/>
        <v>29798.539073698921</v>
      </c>
      <c r="U40" s="39">
        <f>SUM(U38:U39)-1</f>
        <v>52632.365983487041</v>
      </c>
      <c r="V40" s="39">
        <f>SUM(V38:V39)</f>
        <v>39115.099256755428</v>
      </c>
      <c r="W40" s="39">
        <f t="shared" ref="W40:Y40" si="28">SUM(W38:W39)</f>
        <v>35825.552958007211</v>
      </c>
      <c r="X40" s="39">
        <f t="shared" si="28"/>
        <v>20903.362530110142</v>
      </c>
      <c r="Y40" s="39">
        <f t="shared" si="28"/>
        <v>58433.685007279113</v>
      </c>
      <c r="Z40" s="39">
        <f t="shared" ref="Z40:AE40" si="29">SUM(Z38:Z39)</f>
        <v>18507.732169496849</v>
      </c>
      <c r="AA40" s="39">
        <f t="shared" si="29"/>
        <v>18507.732169496849</v>
      </c>
      <c r="AB40" s="39">
        <f t="shared" si="29"/>
        <v>18507.732169496849</v>
      </c>
      <c r="AC40" s="39">
        <f t="shared" si="29"/>
        <v>18507.732169496849</v>
      </c>
      <c r="AE40" s="39">
        <f t="shared" si="29"/>
        <v>54398.168564923522</v>
      </c>
      <c r="AF40" s="39">
        <f t="shared" ref="AF40:AK40" si="30">SUM(AF38:AF39)</f>
        <v>37457.065094618731</v>
      </c>
      <c r="AG40" s="39">
        <f t="shared" si="30"/>
        <v>41935.034059215643</v>
      </c>
      <c r="AH40" s="39">
        <f t="shared" si="30"/>
        <v>49210.129576406864</v>
      </c>
      <c r="AI40" s="39">
        <f>SUM(AI38:AI39)-1</f>
        <v>52632.365983487151</v>
      </c>
      <c r="AJ40" s="39">
        <f t="shared" si="30"/>
        <v>58433.685007279222</v>
      </c>
      <c r="AK40" s="39">
        <f t="shared" si="30"/>
        <v>18507.732169496958</v>
      </c>
    </row>
    <row r="41" spans="1:37">
      <c r="B41" s="40"/>
      <c r="C41" s="40"/>
      <c r="D41" s="40"/>
      <c r="E41" s="40"/>
      <c r="F41" s="40"/>
      <c r="G41" s="40"/>
      <c r="H41" s="40"/>
      <c r="I41" s="40"/>
    </row>
    <row r="42" spans="1:37">
      <c r="C42" s="40"/>
      <c r="D42" s="40"/>
      <c r="E42" s="40"/>
      <c r="F42" s="40"/>
      <c r="G42" s="40"/>
      <c r="H42" s="40"/>
      <c r="I42" s="40"/>
    </row>
  </sheetData>
  <pageMargins left="0.7" right="0.7" top="0.75" bottom="0.75" header="0.3" footer="0.3"/>
  <pageSetup paperSize="9" orientation="portrait" r:id="rId1"/>
  <ignoredErrors>
    <ignoredError sqref="AE35 AF35:AK35 AI40 U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C343-0ED4-4EEC-BDC2-7C6EF713C19D}">
  <dimension ref="A1:AK24"/>
  <sheetViews>
    <sheetView showGridLines="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A1" sqref="AA1:AC1048576"/>
    </sheetView>
  </sheetViews>
  <sheetFormatPr defaultRowHeight="15"/>
  <cols>
    <col min="1" max="1" width="24.44140625" style="1" customWidth="1"/>
    <col min="2" max="26" width="5" style="1" bestFit="1" customWidth="1"/>
    <col min="27" max="29" width="5" style="1" hidden="1" customWidth="1"/>
    <col min="30" max="30" width="6.88671875" style="1" customWidth="1"/>
    <col min="31" max="37" width="5.6640625" style="1" customWidth="1"/>
    <col min="38" max="16384" width="8.88671875" style="1"/>
  </cols>
  <sheetData>
    <row r="1" spans="1:37" ht="25.5">
      <c r="A1" s="69" t="s">
        <v>211</v>
      </c>
    </row>
    <row r="3" spans="1:37">
      <c r="A3" s="70"/>
      <c r="B3" s="28">
        <v>2020</v>
      </c>
      <c r="C3" s="28">
        <v>2020</v>
      </c>
      <c r="D3" s="28">
        <v>2020</v>
      </c>
      <c r="E3" s="28">
        <v>2020</v>
      </c>
      <c r="F3" s="28">
        <v>2021</v>
      </c>
      <c r="G3" s="28">
        <v>2021</v>
      </c>
      <c r="H3" s="28">
        <v>2021</v>
      </c>
      <c r="I3" s="28">
        <v>2021</v>
      </c>
      <c r="J3" s="28">
        <v>2022</v>
      </c>
      <c r="K3" s="28">
        <v>2022</v>
      </c>
      <c r="L3" s="28">
        <v>2022</v>
      </c>
      <c r="M3" s="28">
        <v>2022</v>
      </c>
      <c r="N3" s="28">
        <v>2023</v>
      </c>
      <c r="O3" s="28">
        <v>2023</v>
      </c>
      <c r="P3" s="28">
        <v>2023</v>
      </c>
      <c r="Q3" s="28">
        <v>2023</v>
      </c>
      <c r="R3" s="28">
        <v>2024</v>
      </c>
      <c r="S3" s="28">
        <v>2024</v>
      </c>
      <c r="T3" s="28">
        <v>2024</v>
      </c>
      <c r="U3" s="28">
        <v>2024</v>
      </c>
      <c r="V3" s="28">
        <v>2025</v>
      </c>
      <c r="W3" s="28">
        <v>2025</v>
      </c>
      <c r="X3" s="28">
        <v>2025</v>
      </c>
      <c r="Y3" s="28">
        <v>2025</v>
      </c>
      <c r="Z3" s="28">
        <v>2026</v>
      </c>
      <c r="AA3" s="28">
        <v>2026</v>
      </c>
      <c r="AB3" s="28">
        <v>2026</v>
      </c>
      <c r="AC3" s="28">
        <v>2026</v>
      </c>
      <c r="AD3" s="30"/>
      <c r="AE3" s="76">
        <v>2020</v>
      </c>
      <c r="AF3" s="76">
        <v>2021</v>
      </c>
      <c r="AG3" s="76">
        <v>2022</v>
      </c>
      <c r="AH3" s="76">
        <v>2023</v>
      </c>
      <c r="AI3" s="76">
        <v>2024</v>
      </c>
      <c r="AJ3" s="76">
        <v>2025</v>
      </c>
      <c r="AK3" s="76">
        <v>2026</v>
      </c>
    </row>
    <row r="4" spans="1:37" ht="15.75" thickBot="1">
      <c r="A4" s="71" t="s">
        <v>212</v>
      </c>
      <c r="B4" s="72" t="s">
        <v>0</v>
      </c>
      <c r="C4" s="72" t="s">
        <v>1</v>
      </c>
      <c r="D4" s="72" t="s">
        <v>2</v>
      </c>
      <c r="E4" s="72" t="s">
        <v>3</v>
      </c>
      <c r="F4" s="72" t="s">
        <v>0</v>
      </c>
      <c r="G4" s="72" t="s">
        <v>1</v>
      </c>
      <c r="H4" s="72" t="s">
        <v>2</v>
      </c>
      <c r="I4" s="72" t="s">
        <v>3</v>
      </c>
      <c r="J4" s="72" t="s">
        <v>0</v>
      </c>
      <c r="K4" s="72" t="s">
        <v>1</v>
      </c>
      <c r="L4" s="72" t="s">
        <v>2</v>
      </c>
      <c r="M4" s="72" t="s">
        <v>3</v>
      </c>
      <c r="N4" s="72" t="s">
        <v>0</v>
      </c>
      <c r="O4" s="72" t="s">
        <v>1</v>
      </c>
      <c r="P4" s="72" t="s">
        <v>2</v>
      </c>
      <c r="Q4" s="72" t="s">
        <v>3</v>
      </c>
      <c r="R4" s="72" t="s">
        <v>0</v>
      </c>
      <c r="S4" s="72" t="s">
        <v>1</v>
      </c>
      <c r="T4" s="72" t="s">
        <v>2</v>
      </c>
      <c r="U4" s="72" t="s">
        <v>3</v>
      </c>
      <c r="V4" s="72" t="s">
        <v>0</v>
      </c>
      <c r="W4" s="72" t="s">
        <v>1</v>
      </c>
      <c r="X4" s="72" t="s">
        <v>2</v>
      </c>
      <c r="Y4" s="72" t="s">
        <v>3</v>
      </c>
      <c r="Z4" s="72" t="s">
        <v>0</v>
      </c>
      <c r="AA4" s="72" t="s">
        <v>1</v>
      </c>
      <c r="AB4" s="72" t="s">
        <v>2</v>
      </c>
      <c r="AC4" s="72" t="s">
        <v>3</v>
      </c>
      <c r="AD4" s="30"/>
      <c r="AE4" s="77" t="s">
        <v>218</v>
      </c>
      <c r="AF4" s="77" t="s">
        <v>218</v>
      </c>
      <c r="AG4" s="77" t="s">
        <v>218</v>
      </c>
      <c r="AH4" s="77" t="s">
        <v>218</v>
      </c>
      <c r="AI4" s="77" t="s">
        <v>218</v>
      </c>
      <c r="AJ4" s="77" t="s">
        <v>218</v>
      </c>
      <c r="AK4" s="77" t="s">
        <v>219</v>
      </c>
    </row>
    <row r="5" spans="1:37">
      <c r="A5" s="33" t="s">
        <v>209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30"/>
      <c r="AE5" s="22"/>
      <c r="AF5" s="22"/>
      <c r="AG5" s="22"/>
      <c r="AH5" s="22"/>
      <c r="AI5" s="22"/>
      <c r="AJ5" s="22"/>
      <c r="AK5" s="22"/>
    </row>
    <row r="6" spans="1:37">
      <c r="A6" s="30" t="s">
        <v>103</v>
      </c>
      <c r="B6" s="22"/>
      <c r="C6" s="22"/>
      <c r="D6" s="22"/>
      <c r="E6" s="22"/>
      <c r="F6" s="34">
        <v>-903.11403599999994</v>
      </c>
      <c r="G6" s="34">
        <f>-1798.418628-F6</f>
        <v>-895.30459199999996</v>
      </c>
      <c r="H6" s="34">
        <f>-2705-SUM(F6:G6)</f>
        <v>-906.5813720000001</v>
      </c>
      <c r="I6" s="34">
        <f>-3616-SUM(F6:H6)</f>
        <v>-911</v>
      </c>
      <c r="J6" s="34">
        <v>-940.6113600000001</v>
      </c>
      <c r="K6" s="34">
        <v>-809.67716959999984</v>
      </c>
      <c r="L6" s="34">
        <v>0</v>
      </c>
      <c r="M6" s="34">
        <v>15</v>
      </c>
      <c r="N6" s="34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4">
        <f>SUMIFS($B6:$AC6,$B$3:$AC$3,AE$3)</f>
        <v>0</v>
      </c>
      <c r="AF6" s="34">
        <f t="shared" ref="AF6:AK6" si="0">SUMIFS($B6:$AC6,$B$3:$AC$3,AF$3)</f>
        <v>-3616</v>
      </c>
      <c r="AG6" s="34">
        <f t="shared" si="0"/>
        <v>-1735.2885295999999</v>
      </c>
      <c r="AH6" s="34">
        <f t="shared" si="0"/>
        <v>0</v>
      </c>
      <c r="AI6" s="34">
        <f t="shared" si="0"/>
        <v>0</v>
      </c>
      <c r="AJ6" s="34">
        <f t="shared" si="0"/>
        <v>0</v>
      </c>
      <c r="AK6" s="34">
        <f t="shared" si="0"/>
        <v>0</v>
      </c>
    </row>
    <row r="7" spans="1:37">
      <c r="A7" s="30" t="s">
        <v>11</v>
      </c>
      <c r="B7" s="34">
        <v>-3667.10667455772</v>
      </c>
      <c r="C7" s="34">
        <v>-3667.10667455772</v>
      </c>
      <c r="D7" s="34">
        <v>-3690.5443485810465</v>
      </c>
      <c r="E7" s="34">
        <v>-2952.2750445548409</v>
      </c>
      <c r="F7" s="34">
        <v>-3459.2830380512</v>
      </c>
      <c r="G7" s="34">
        <v>-3517.9540088096733</v>
      </c>
      <c r="H7" s="34">
        <f>-10597-SUM(F7:G7)</f>
        <v>-3619.7629531391267</v>
      </c>
      <c r="I7" s="34">
        <f>-14349-SUM(F7:H7)</f>
        <v>-3752</v>
      </c>
      <c r="J7" s="34">
        <v>-3794.4021699213004</v>
      </c>
      <c r="K7" s="34">
        <v>-3938.7761946233127</v>
      </c>
      <c r="L7" s="34">
        <v>-3952.8178612899796</v>
      </c>
      <c r="M7" s="34">
        <v>-3966.8152087470062</v>
      </c>
      <c r="N7" s="34">
        <v>-3273.5426138723401</v>
      </c>
      <c r="O7" s="34">
        <v>-3480.1499836045391</v>
      </c>
      <c r="P7" s="34">
        <v>-4201.8694730790894</v>
      </c>
      <c r="Q7" s="34">
        <v>-4251.4379294440314</v>
      </c>
      <c r="R7" s="34">
        <v>-4257.59876030751</v>
      </c>
      <c r="S7" s="34">
        <f>-8595-R7</f>
        <v>-4337.40123969249</v>
      </c>
      <c r="T7" s="34">
        <f>-12943-R7-S7</f>
        <v>-4348</v>
      </c>
      <c r="U7" s="34">
        <v>-4348.541483012199</v>
      </c>
      <c r="V7" s="34">
        <v>-4364.7167766257435</v>
      </c>
      <c r="W7" s="34">
        <v>-4373.0343787762804</v>
      </c>
      <c r="X7" s="34">
        <v>-4388.1726985020832</v>
      </c>
      <c r="Y7" s="34">
        <v>-4368.0927620309121</v>
      </c>
      <c r="Z7" s="34">
        <v>-4328.2892898872196</v>
      </c>
      <c r="AA7" s="34"/>
      <c r="AB7" s="34"/>
      <c r="AC7" s="34"/>
      <c r="AD7" s="30"/>
      <c r="AE7" s="34">
        <f t="shared" ref="AE7:AK11" si="1">SUMIFS($B7:$AC7,$B$3:$AC$3,AE$3)</f>
        <v>-13977.032742251327</v>
      </c>
      <c r="AF7" s="34">
        <f t="shared" si="1"/>
        <v>-14349</v>
      </c>
      <c r="AG7" s="34">
        <f t="shared" si="1"/>
        <v>-15652.811434581599</v>
      </c>
      <c r="AH7" s="34">
        <f t="shared" si="1"/>
        <v>-15207</v>
      </c>
      <c r="AI7" s="34">
        <f t="shared" si="1"/>
        <v>-17291.541483012199</v>
      </c>
      <c r="AJ7" s="34">
        <f t="shared" si="1"/>
        <v>-17494.016615935019</v>
      </c>
      <c r="AK7" s="34">
        <f t="shared" si="1"/>
        <v>-4328.2892898872196</v>
      </c>
    </row>
    <row r="8" spans="1:37">
      <c r="A8" s="30" t="s">
        <v>12</v>
      </c>
      <c r="B8" s="34">
        <v>3456.5092994427869</v>
      </c>
      <c r="C8" s="34">
        <v>3634.5875265538971</v>
      </c>
      <c r="D8" s="34">
        <v>3661.9088897958291</v>
      </c>
      <c r="E8" s="34">
        <v>3475.9499460812713</v>
      </c>
      <c r="F8" s="34">
        <v>2429.3169979977065</v>
      </c>
      <c r="G8" s="34">
        <v>2554.7183189067609</v>
      </c>
      <c r="H8" s="34">
        <f>7697-SUM(F8:G8)</f>
        <v>2712.9646830955326</v>
      </c>
      <c r="I8" s="34">
        <f>10383-SUM(F8:H8)</f>
        <v>2686</v>
      </c>
      <c r="J8" s="34">
        <v>2679.4037195905585</v>
      </c>
      <c r="K8" s="34">
        <v>2715.7962614092494</v>
      </c>
      <c r="L8" s="34">
        <v>3713.3275343092491</v>
      </c>
      <c r="M8" s="34">
        <v>3993.6996646693533</v>
      </c>
      <c r="N8" s="34">
        <v>3079.6824467927468</v>
      </c>
      <c r="O8" s="34">
        <v>3458.0146098807213</v>
      </c>
      <c r="P8" s="34">
        <v>3669.2001452440463</v>
      </c>
      <c r="Q8" s="34">
        <v>3741.1027980824856</v>
      </c>
      <c r="R8" s="34">
        <v>3730.6500277477571</v>
      </c>
      <c r="S8" s="34">
        <f>7471-R8</f>
        <v>3740.3499722522429</v>
      </c>
      <c r="T8" s="34">
        <f>11221-S8-R8</f>
        <v>3750</v>
      </c>
      <c r="U8" s="34">
        <v>3749.4871593150856</v>
      </c>
      <c r="V8" s="34">
        <v>3765.0991414080841</v>
      </c>
      <c r="W8" s="34">
        <v>3791.6407187563605</v>
      </c>
      <c r="X8" s="34">
        <v>3785.1932347919874</v>
      </c>
      <c r="Y8" s="34">
        <v>3841.9274320384375</v>
      </c>
      <c r="Z8" s="34">
        <v>3702.6953068907783</v>
      </c>
      <c r="AA8" s="34"/>
      <c r="AB8" s="34"/>
      <c r="AC8" s="34"/>
      <c r="AD8" s="30"/>
      <c r="AE8" s="34">
        <f t="shared" si="1"/>
        <v>14228.955661873784</v>
      </c>
      <c r="AF8" s="34">
        <f t="shared" si="1"/>
        <v>10383</v>
      </c>
      <c r="AG8" s="34">
        <f t="shared" si="1"/>
        <v>13102.22717997841</v>
      </c>
      <c r="AH8" s="34">
        <f t="shared" si="1"/>
        <v>13948</v>
      </c>
      <c r="AI8" s="34">
        <f t="shared" si="1"/>
        <v>14970.487159315086</v>
      </c>
      <c r="AJ8" s="34">
        <f t="shared" si="1"/>
        <v>15183.860526994869</v>
      </c>
      <c r="AK8" s="34">
        <f t="shared" si="1"/>
        <v>3702.6953068907783</v>
      </c>
    </row>
    <row r="9" spans="1:37">
      <c r="A9" s="33" t="s">
        <v>45</v>
      </c>
      <c r="B9" s="39">
        <v>210.59737511493313</v>
      </c>
      <c r="C9" s="39">
        <v>32.51914800382292</v>
      </c>
      <c r="D9" s="39">
        <v>28.635458785217452</v>
      </c>
      <c r="E9" s="39">
        <v>-523.6749015264304</v>
      </c>
      <c r="F9" s="39">
        <f>+F6-SUM(F7:F8)</f>
        <v>126.8520040534936</v>
      </c>
      <c r="G9" s="39">
        <f>+G6-SUM(G7:G8)</f>
        <v>67.93109790291237</v>
      </c>
      <c r="H9" s="39">
        <f>+H6-SUM(H7:H8)</f>
        <v>0.21689804359402842</v>
      </c>
      <c r="I9" s="39">
        <f>+I6-SUM(I7:I8)</f>
        <v>155</v>
      </c>
      <c r="J9" s="39">
        <f t="shared" ref="J9:L9" si="2">+J6-SUM(J7:J8)</f>
        <v>174.38709033074178</v>
      </c>
      <c r="K9" s="39">
        <f t="shared" si="2"/>
        <v>413.30276361406345</v>
      </c>
      <c r="L9" s="39">
        <f t="shared" si="2"/>
        <v>239.49032698073052</v>
      </c>
      <c r="M9" s="39">
        <f t="shared" ref="M9:AK9" si="3">+M6-SUM(M7:M8)</f>
        <v>-11.884455922347115</v>
      </c>
      <c r="N9" s="39">
        <f t="shared" si="3"/>
        <v>193.86016707959334</v>
      </c>
      <c r="O9" s="39">
        <f t="shared" si="3"/>
        <v>22.135373723817793</v>
      </c>
      <c r="P9" s="39">
        <f t="shared" si="3"/>
        <v>532.66932783504308</v>
      </c>
      <c r="Q9" s="39">
        <f t="shared" si="3"/>
        <v>510.33513136154579</v>
      </c>
      <c r="R9" s="39">
        <f t="shared" si="3"/>
        <v>526.9487325597529</v>
      </c>
      <c r="S9" s="39">
        <f t="shared" si="3"/>
        <v>597.0512674402471</v>
      </c>
      <c r="T9" s="39">
        <f t="shared" si="3"/>
        <v>598</v>
      </c>
      <c r="U9" s="39">
        <f t="shared" si="3"/>
        <v>599.05432369711343</v>
      </c>
      <c r="V9" s="39">
        <f t="shared" si="3"/>
        <v>599.61763521765943</v>
      </c>
      <c r="W9" s="39">
        <f t="shared" si="3"/>
        <v>581.39366001991993</v>
      </c>
      <c r="X9" s="39">
        <f t="shared" si="3"/>
        <v>602.97946371009584</v>
      </c>
      <c r="Y9" s="39">
        <f t="shared" si="3"/>
        <v>526.16532999247465</v>
      </c>
      <c r="Z9" s="39">
        <f t="shared" si="3"/>
        <v>625.59398299644135</v>
      </c>
      <c r="AA9" s="39">
        <f t="shared" si="3"/>
        <v>0</v>
      </c>
      <c r="AB9" s="39">
        <f t="shared" si="3"/>
        <v>0</v>
      </c>
      <c r="AC9" s="39">
        <f t="shared" si="3"/>
        <v>0</v>
      </c>
      <c r="AD9" s="30"/>
      <c r="AE9" s="39">
        <f t="shared" si="3"/>
        <v>-251.9229196224569</v>
      </c>
      <c r="AF9" s="39">
        <f t="shared" si="3"/>
        <v>350</v>
      </c>
      <c r="AG9" s="39">
        <f t="shared" si="3"/>
        <v>815.29572500318909</v>
      </c>
      <c r="AH9" s="39">
        <f t="shared" si="3"/>
        <v>1259</v>
      </c>
      <c r="AI9" s="39">
        <f t="shared" si="3"/>
        <v>2321.0543236971134</v>
      </c>
      <c r="AJ9" s="39">
        <f t="shared" si="3"/>
        <v>2310.1560889401499</v>
      </c>
      <c r="AK9" s="39">
        <f t="shared" si="3"/>
        <v>625.59398299644135</v>
      </c>
    </row>
    <row r="10" spans="1:37">
      <c r="A10" s="30" t="s">
        <v>36</v>
      </c>
      <c r="B10" s="34">
        <v>306.13687908718754</v>
      </c>
      <c r="C10" s="34">
        <v>277.19310454443013</v>
      </c>
      <c r="D10" s="34">
        <v>251.85500739768304</v>
      </c>
      <c r="E10" s="34">
        <v>205.27025554210206</v>
      </c>
      <c r="F10" s="34">
        <v>150.99877949964434</v>
      </c>
      <c r="G10" s="34">
        <v>145.54677105826221</v>
      </c>
      <c r="H10" s="34">
        <f>(453-SUM(F10:G10))</f>
        <v>156.45444944209345</v>
      </c>
      <c r="I10" s="34">
        <f>(602-SUM(F10:H10))</f>
        <v>149</v>
      </c>
      <c r="J10" s="34">
        <v>129.53825014907568</v>
      </c>
      <c r="K10" s="34">
        <v>115.3927859680563</v>
      </c>
      <c r="L10" s="34">
        <v>110.8093106038344</v>
      </c>
      <c r="M10" s="34">
        <v>197.33967696836294</v>
      </c>
      <c r="N10" s="34">
        <v>211.872077967097</v>
      </c>
      <c r="O10" s="34">
        <f>(508-N10)</f>
        <v>296.12792203290303</v>
      </c>
      <c r="P10" s="34">
        <f>(1394-SUM(N10:O10))</f>
        <v>886</v>
      </c>
      <c r="Q10" s="34">
        <v>928</v>
      </c>
      <c r="R10" s="34">
        <v>885.98877460204085</v>
      </c>
      <c r="S10" s="34">
        <f>1731-R10</f>
        <v>845.01122539795915</v>
      </c>
      <c r="T10" s="34">
        <f>2533-S10-R10</f>
        <v>802</v>
      </c>
      <c r="U10" s="34">
        <v>758.7284946937225</v>
      </c>
      <c r="V10" s="34">
        <v>715.2389921968919</v>
      </c>
      <c r="W10" s="34">
        <v>673.6288463181603</v>
      </c>
      <c r="X10" s="34">
        <v>630.30454651112041</v>
      </c>
      <c r="Y10" s="34">
        <v>655.74471700822937</v>
      </c>
      <c r="Z10" s="34">
        <v>639.0226464716153</v>
      </c>
      <c r="AA10" s="34"/>
      <c r="AB10" s="34"/>
      <c r="AC10" s="34"/>
      <c r="AD10" s="30"/>
      <c r="AE10" s="34">
        <f t="shared" si="1"/>
        <v>1040.4552465714028</v>
      </c>
      <c r="AF10" s="34">
        <f t="shared" si="1"/>
        <v>602</v>
      </c>
      <c r="AG10" s="34">
        <f t="shared" si="1"/>
        <v>553.08002368932932</v>
      </c>
      <c r="AH10" s="34">
        <f t="shared" si="1"/>
        <v>2322</v>
      </c>
      <c r="AI10" s="34">
        <f t="shared" si="1"/>
        <v>3291.7284946937225</v>
      </c>
      <c r="AJ10" s="34">
        <f t="shared" si="1"/>
        <v>2674.917102034402</v>
      </c>
      <c r="AK10" s="34">
        <f t="shared" si="1"/>
        <v>639.0226464716153</v>
      </c>
    </row>
    <row r="11" spans="1:37">
      <c r="A11" s="30" t="s">
        <v>147</v>
      </c>
      <c r="B11" s="34">
        <v>-95.539503972254408</v>
      </c>
      <c r="C11" s="34">
        <v>-244.67395654060721</v>
      </c>
      <c r="D11" s="34">
        <v>-223.21954861246559</v>
      </c>
      <c r="E11" s="34">
        <v>-728.94515706853247</v>
      </c>
      <c r="F11" s="34">
        <v>-24.146775446150741</v>
      </c>
      <c r="G11" s="34">
        <v>-77.615673155350066</v>
      </c>
      <c r="H11" s="34">
        <f>+H9-H10</f>
        <v>-156.23755139849942</v>
      </c>
      <c r="I11" s="34">
        <f t="shared" ref="I11:S11" si="4">+I9-I10</f>
        <v>6</v>
      </c>
      <c r="J11" s="34">
        <f t="shared" si="4"/>
        <v>44.848840181666105</v>
      </c>
      <c r="K11" s="34">
        <f t="shared" si="4"/>
        <v>297.90997764600718</v>
      </c>
      <c r="L11" s="34">
        <f t="shared" si="4"/>
        <v>128.68101637689611</v>
      </c>
      <c r="M11" s="34">
        <f t="shared" si="4"/>
        <v>-209.22413289071005</v>
      </c>
      <c r="N11" s="34">
        <f t="shared" si="4"/>
        <v>-18.01191088750366</v>
      </c>
      <c r="O11" s="34">
        <f t="shared" si="4"/>
        <v>-273.99254830908524</v>
      </c>
      <c r="P11" s="34">
        <f t="shared" si="4"/>
        <v>-353.33067216495692</v>
      </c>
      <c r="Q11" s="34">
        <f t="shared" si="4"/>
        <v>-417.66486863845421</v>
      </c>
      <c r="R11" s="34">
        <f t="shared" si="4"/>
        <v>-359.04004204228795</v>
      </c>
      <c r="S11" s="34">
        <f t="shared" si="4"/>
        <v>-247.95995795771205</v>
      </c>
      <c r="T11" s="34">
        <f>-810-S11-R11</f>
        <v>-203</v>
      </c>
      <c r="U11" s="34">
        <v>-160.67417099660906</v>
      </c>
      <c r="V11" s="34">
        <v>-115.62135697923247</v>
      </c>
      <c r="W11" s="34">
        <v>-92.235186298240365</v>
      </c>
      <c r="X11" s="34">
        <v>-27.325082801024564</v>
      </c>
      <c r="Y11" s="34">
        <v>-49.331964135019234</v>
      </c>
      <c r="Z11" s="34">
        <v>-13.428663475173948</v>
      </c>
      <c r="AA11" s="34"/>
      <c r="AB11" s="34"/>
      <c r="AC11" s="34"/>
      <c r="AD11" s="30"/>
      <c r="AE11" s="34">
        <f t="shared" si="1"/>
        <v>-1292.3781661938597</v>
      </c>
      <c r="AF11" s="34">
        <f t="shared" si="1"/>
        <v>-252.00000000000023</v>
      </c>
      <c r="AG11" s="34">
        <f t="shared" si="1"/>
        <v>262.21570131385931</v>
      </c>
      <c r="AH11" s="34">
        <f t="shared" si="1"/>
        <v>-1063</v>
      </c>
      <c r="AI11" s="34">
        <f t="shared" si="1"/>
        <v>-970.67417099660906</v>
      </c>
      <c r="AJ11" s="34">
        <f t="shared" si="1"/>
        <v>-284.51359021351664</v>
      </c>
      <c r="AK11" s="34">
        <f t="shared" si="1"/>
        <v>-13.428663475173948</v>
      </c>
    </row>
    <row r="12" spans="1:37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34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4"/>
      <c r="AF12" s="34"/>
      <c r="AG12" s="34"/>
      <c r="AH12" s="34"/>
      <c r="AI12" s="34"/>
      <c r="AJ12" s="34"/>
      <c r="AK12" s="34"/>
    </row>
    <row r="13" spans="1:37">
      <c r="A13" s="33" t="s">
        <v>210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>
      <c r="A14" s="30" t="s">
        <v>49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4">
        <v>141.94674664717914</v>
      </c>
      <c r="Q14" s="34">
        <v>233.812770420074</v>
      </c>
      <c r="R14" s="34">
        <v>78.988809249303344</v>
      </c>
      <c r="S14" s="34">
        <v>133.36329186715076</v>
      </c>
      <c r="T14" s="34">
        <v>178</v>
      </c>
      <c r="U14" s="34">
        <v>213.54831761925399</v>
      </c>
      <c r="V14" s="34">
        <v>238.81951445268962</v>
      </c>
      <c r="W14" s="34">
        <v>259.11125543830252</v>
      </c>
      <c r="X14" s="34">
        <v>265.12277365452792</v>
      </c>
      <c r="Y14" s="34">
        <v>293.63023879799397</v>
      </c>
      <c r="Z14" s="34">
        <v>295.44690675179692</v>
      </c>
      <c r="AA14" s="34"/>
      <c r="AB14" s="34"/>
      <c r="AC14" s="34"/>
      <c r="AD14" s="30"/>
      <c r="AE14" s="34">
        <f>+E14</f>
        <v>0</v>
      </c>
      <c r="AF14" s="34">
        <f>+I14</f>
        <v>0</v>
      </c>
      <c r="AG14" s="34">
        <f>+M14</f>
        <v>0</v>
      </c>
      <c r="AH14" s="34">
        <f>+Q14</f>
        <v>233.812770420074</v>
      </c>
      <c r="AI14" s="34">
        <f>+U14</f>
        <v>213.54831761925399</v>
      </c>
      <c r="AJ14" s="34">
        <f>+Y14</f>
        <v>293.63023879799397</v>
      </c>
      <c r="AK14" s="34">
        <f>+Z14</f>
        <v>295.44690675179692</v>
      </c>
    </row>
    <row r="15" spans="1:37">
      <c r="A15" s="30" t="s">
        <v>52</v>
      </c>
      <c r="B15" s="34">
        <v>40589.849318173387</v>
      </c>
      <c r="C15" s="34">
        <v>43798.532032886353</v>
      </c>
      <c r="D15" s="34">
        <v>37992.073558327029</v>
      </c>
      <c r="E15" s="34">
        <v>33379.598444837371</v>
      </c>
      <c r="F15" s="34">
        <v>23899.63197985509</v>
      </c>
      <c r="G15" s="34">
        <v>23865.356417272251</v>
      </c>
      <c r="H15" s="34">
        <v>28298.537425059731</v>
      </c>
      <c r="I15" s="34">
        <v>29658.88296273239</v>
      </c>
      <c r="J15" s="34">
        <v>26554.113956279911</v>
      </c>
      <c r="K15" s="34">
        <v>27207.338943683117</v>
      </c>
      <c r="L15" s="34">
        <v>23469.300138551338</v>
      </c>
      <c r="M15" s="34">
        <v>28271.206958495572</v>
      </c>
      <c r="N15" s="34">
        <v>25166.353061103982</v>
      </c>
      <c r="O15" s="34">
        <v>68879.546518187533</v>
      </c>
      <c r="P15" s="34">
        <v>72987.189240091233</v>
      </c>
      <c r="Q15" s="34">
        <v>74581.845272023857</v>
      </c>
      <c r="R15" s="34">
        <v>71102.790440896657</v>
      </c>
      <c r="S15" s="34">
        <v>67567.561967247224</v>
      </c>
      <c r="T15" s="34">
        <v>64060</v>
      </c>
      <c r="U15" s="34">
        <v>60288.123000902073</v>
      </c>
      <c r="V15" s="34">
        <v>56695.571334087363</v>
      </c>
      <c r="W15" s="34">
        <v>53206.423577835296</v>
      </c>
      <c r="X15" s="34">
        <v>49390.323961544709</v>
      </c>
      <c r="Y15" s="34">
        <v>52344.13556566606</v>
      </c>
      <c r="Z15" s="34">
        <v>47965.506570026067</v>
      </c>
      <c r="AA15" s="34"/>
      <c r="AB15" s="34"/>
      <c r="AC15" s="34"/>
      <c r="AD15" s="30"/>
      <c r="AE15" s="34">
        <f t="shared" ref="AE15:AE17" si="5">+E15</f>
        <v>33379.598444837371</v>
      </c>
      <c r="AF15" s="34">
        <f t="shared" ref="AF15:AF17" si="6">+I15</f>
        <v>29658.88296273239</v>
      </c>
      <c r="AG15" s="34">
        <f t="shared" ref="AG15:AG17" si="7">+M15</f>
        <v>28271.206958495572</v>
      </c>
      <c r="AH15" s="34">
        <f t="shared" ref="AH15:AH17" si="8">+Q15</f>
        <v>74581.845272023857</v>
      </c>
      <c r="AI15" s="34">
        <f t="shared" ref="AI15:AI17" si="9">+U15</f>
        <v>60288.123000902073</v>
      </c>
      <c r="AJ15" s="34">
        <f t="shared" ref="AJ15:AJ17" si="10">+Y15</f>
        <v>52344.13556566606</v>
      </c>
      <c r="AK15" s="34">
        <f t="shared" ref="AK15:AK17" si="11">+Z15</f>
        <v>47965.506570026067</v>
      </c>
    </row>
    <row r="16" spans="1:37">
      <c r="A16" s="30" t="s">
        <v>51</v>
      </c>
      <c r="B16" s="34"/>
      <c r="C16" s="34"/>
      <c r="D16" s="34"/>
      <c r="E16" s="34"/>
      <c r="F16" s="34">
        <v>2381.8931470161583</v>
      </c>
      <c r="G16" s="34">
        <v>1502.6040732879369</v>
      </c>
      <c r="H16" s="34">
        <v>619.73925775014914</v>
      </c>
      <c r="I16" s="34"/>
      <c r="J16" s="34"/>
      <c r="K16" s="34"/>
      <c r="L16" s="34"/>
      <c r="M16" s="34"/>
      <c r="N16" s="34"/>
      <c r="O16" s="30"/>
      <c r="P16" s="30"/>
      <c r="Q16" s="30"/>
      <c r="R16" s="34"/>
      <c r="S16" s="34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4">
        <f t="shared" si="5"/>
        <v>0</v>
      </c>
      <c r="AF16" s="34">
        <f t="shared" si="6"/>
        <v>0</v>
      </c>
      <c r="AG16" s="34">
        <f t="shared" si="7"/>
        <v>0</v>
      </c>
      <c r="AH16" s="34">
        <f t="shared" si="8"/>
        <v>0</v>
      </c>
      <c r="AI16" s="34">
        <f t="shared" si="9"/>
        <v>0</v>
      </c>
      <c r="AJ16" s="34">
        <f t="shared" si="10"/>
        <v>0</v>
      </c>
      <c r="AK16" s="34">
        <f t="shared" si="11"/>
        <v>0</v>
      </c>
    </row>
    <row r="17" spans="1:37">
      <c r="A17" s="30" t="s">
        <v>57</v>
      </c>
      <c r="B17" s="34"/>
      <c r="C17" s="34"/>
      <c r="D17" s="34"/>
      <c r="E17" s="34"/>
      <c r="F17" s="34">
        <v>3448.6576754010271</v>
      </c>
      <c r="G17" s="34">
        <v>3499.5197594967635</v>
      </c>
      <c r="H17" s="34">
        <v>3627.6460996353094</v>
      </c>
      <c r="I17" s="34">
        <v>3370.3920167701099</v>
      </c>
      <c r="J17" s="34">
        <v>2469.0113869063202</v>
      </c>
      <c r="K17" s="34"/>
      <c r="L17" s="34"/>
      <c r="M17" s="34"/>
      <c r="N17" s="34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4">
        <f t="shared" si="5"/>
        <v>0</v>
      </c>
      <c r="AF17" s="34">
        <f t="shared" si="6"/>
        <v>3370.3920167701099</v>
      </c>
      <c r="AG17" s="34">
        <f t="shared" si="7"/>
        <v>0</v>
      </c>
      <c r="AH17" s="34">
        <f t="shared" si="8"/>
        <v>0</v>
      </c>
      <c r="AI17" s="34">
        <f t="shared" si="9"/>
        <v>0</v>
      </c>
      <c r="AJ17" s="34">
        <f t="shared" si="10"/>
        <v>0</v>
      </c>
      <c r="AK17" s="34">
        <f t="shared" si="11"/>
        <v>0</v>
      </c>
    </row>
    <row r="18" spans="1:37">
      <c r="A18" s="33" t="s">
        <v>61</v>
      </c>
      <c r="B18" s="39">
        <f t="shared" ref="B18:O18" si="12">SUM(B14:B17)</f>
        <v>40589.849318173387</v>
      </c>
      <c r="C18" s="39">
        <f t="shared" si="12"/>
        <v>43798.532032886353</v>
      </c>
      <c r="D18" s="39">
        <f t="shared" si="12"/>
        <v>37992.073558327029</v>
      </c>
      <c r="E18" s="39">
        <f t="shared" si="12"/>
        <v>33379.598444837371</v>
      </c>
      <c r="F18" s="39">
        <f t="shared" si="12"/>
        <v>29730.182802272277</v>
      </c>
      <c r="G18" s="39">
        <f t="shared" si="12"/>
        <v>28867.480250056953</v>
      </c>
      <c r="H18" s="39">
        <f t="shared" si="12"/>
        <v>32545.922782445188</v>
      </c>
      <c r="I18" s="39">
        <f t="shared" si="12"/>
        <v>33029.274979502501</v>
      </c>
      <c r="J18" s="39">
        <f t="shared" si="12"/>
        <v>29023.125343186231</v>
      </c>
      <c r="K18" s="39">
        <f t="shared" si="12"/>
        <v>27207.338943683117</v>
      </c>
      <c r="L18" s="39">
        <f t="shared" si="12"/>
        <v>23469.300138551338</v>
      </c>
      <c r="M18" s="39">
        <f t="shared" si="12"/>
        <v>28271.206958495572</v>
      </c>
      <c r="N18" s="39">
        <f t="shared" si="12"/>
        <v>25166.353061103982</v>
      </c>
      <c r="O18" s="39">
        <f t="shared" si="12"/>
        <v>68879.546518187533</v>
      </c>
      <c r="P18" s="39">
        <f>SUM(P14:P17)</f>
        <v>73129.135986738416</v>
      </c>
      <c r="Q18" s="39">
        <f>SUM(Q14:Q17)</f>
        <v>74815.658042443931</v>
      </c>
      <c r="R18" s="39">
        <f t="shared" ref="R18:AK18" si="13">SUM(R14:R17)</f>
        <v>71181.779250145963</v>
      </c>
      <c r="S18" s="39">
        <f t="shared" si="13"/>
        <v>67700.925259114374</v>
      </c>
      <c r="T18" s="39">
        <f t="shared" si="13"/>
        <v>64238</v>
      </c>
      <c r="U18" s="39">
        <f t="shared" si="13"/>
        <v>60501.67131852133</v>
      </c>
      <c r="V18" s="39">
        <f t="shared" si="13"/>
        <v>56934.390848540053</v>
      </c>
      <c r="W18" s="39">
        <f t="shared" si="13"/>
        <v>53465.534833273596</v>
      </c>
      <c r="X18" s="39">
        <f t="shared" si="13"/>
        <v>49655.446735199235</v>
      </c>
      <c r="Y18" s="39">
        <f t="shared" si="13"/>
        <v>52637.765804464056</v>
      </c>
      <c r="Z18" s="39">
        <f t="shared" si="13"/>
        <v>48260.953476777868</v>
      </c>
      <c r="AA18" s="39">
        <f t="shared" si="13"/>
        <v>0</v>
      </c>
      <c r="AB18" s="39">
        <f t="shared" si="13"/>
        <v>0</v>
      </c>
      <c r="AC18" s="39">
        <f t="shared" si="13"/>
        <v>0</v>
      </c>
      <c r="AD18" s="30"/>
      <c r="AE18" s="39">
        <f t="shared" si="13"/>
        <v>33379.598444837371</v>
      </c>
      <c r="AF18" s="39">
        <f t="shared" si="13"/>
        <v>33029.274979502501</v>
      </c>
      <c r="AG18" s="39">
        <f t="shared" si="13"/>
        <v>28271.206958495572</v>
      </c>
      <c r="AH18" s="39">
        <f t="shared" si="13"/>
        <v>74815.658042443931</v>
      </c>
      <c r="AI18" s="39">
        <f t="shared" si="13"/>
        <v>60501.67131852133</v>
      </c>
      <c r="AJ18" s="39">
        <f t="shared" si="13"/>
        <v>52637.765804464056</v>
      </c>
      <c r="AK18" s="39">
        <f t="shared" si="13"/>
        <v>48260.953476777868</v>
      </c>
    </row>
    <row r="19" spans="1:37" ht="7.5" customHeight="1">
      <c r="A19" s="33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0"/>
      <c r="AE19" s="39"/>
      <c r="AF19" s="39"/>
      <c r="AG19" s="39"/>
      <c r="AH19" s="39"/>
      <c r="AI19" s="39"/>
      <c r="AJ19" s="39"/>
      <c r="AK19" s="39"/>
    </row>
    <row r="20" spans="1:37">
      <c r="A20" s="30" t="s">
        <v>63</v>
      </c>
      <c r="B20" s="34">
        <v>-785.47171773482205</v>
      </c>
      <c r="C20" s="34">
        <v>-1040.1861352304977</v>
      </c>
      <c r="D20" s="34">
        <v>-1200.8493840014924</v>
      </c>
      <c r="E20" s="34">
        <v>-1877.5128232676716</v>
      </c>
      <c r="F20" s="34">
        <v>-1308.9318449767372</v>
      </c>
      <c r="G20" s="34">
        <v>-1398.1169044492847</v>
      </c>
      <c r="H20" s="34">
        <v>-2184.6964389479522</v>
      </c>
      <c r="I20" s="34">
        <v>-2169.4393369937725</v>
      </c>
      <c r="J20" s="34">
        <v>-2106.6114110807835</v>
      </c>
      <c r="K20" s="34">
        <v>-1968.9545860055582</v>
      </c>
      <c r="L20" s="34">
        <v>-1841.6073420965297</v>
      </c>
      <c r="M20" s="34">
        <f>-1381.06497231093+58</f>
        <v>-1323.06497231093</v>
      </c>
      <c r="N20" s="34">
        <v>-1337.7649275054296</v>
      </c>
      <c r="O20" s="34">
        <f>+O18-SUM(O21:O22)</f>
        <v>-1722.8317894097709</v>
      </c>
      <c r="P20" s="34">
        <v>-2514.3305150269648</v>
      </c>
      <c r="Q20" s="34">
        <v>-2671.6569833405547</v>
      </c>
      <c r="R20" s="34">
        <v>-3197.7421504004028</v>
      </c>
      <c r="S20" s="34">
        <v>-3404.4596379694071</v>
      </c>
      <c r="T20" s="34">
        <v>-3581</v>
      </c>
      <c r="U20" s="34">
        <v>-3705.7910835349085</v>
      </c>
      <c r="V20" s="34">
        <v>-3807.439005655172</v>
      </c>
      <c r="W20" s="34">
        <v>-3531.9835202498989</v>
      </c>
      <c r="X20" s="34">
        <v>-3558.2318609138906</v>
      </c>
      <c r="Y20" s="34">
        <v>-3655.3598480044493</v>
      </c>
      <c r="Z20" s="34">
        <v>-3962.2124443974435</v>
      </c>
      <c r="AA20" s="34"/>
      <c r="AB20" s="34"/>
      <c r="AC20" s="34"/>
      <c r="AD20" s="30"/>
      <c r="AE20" s="34">
        <f t="shared" ref="AE20:AE22" si="14">+E20</f>
        <v>-1877.5128232676716</v>
      </c>
      <c r="AF20" s="34">
        <f t="shared" ref="AF20:AF22" si="15">+I20</f>
        <v>-2169.4393369937725</v>
      </c>
      <c r="AG20" s="34">
        <f t="shared" ref="AG20:AG22" si="16">+M20</f>
        <v>-1323.06497231093</v>
      </c>
      <c r="AH20" s="34">
        <f t="shared" ref="AH20:AH22" si="17">+Q20</f>
        <v>-2671.6569833405547</v>
      </c>
      <c r="AI20" s="34">
        <f t="shared" ref="AI20:AI22" si="18">+U20</f>
        <v>-3705.7910835349085</v>
      </c>
      <c r="AJ20" s="34">
        <f t="shared" ref="AJ20:AJ22" si="19">+Y20</f>
        <v>-3655.3598480044493</v>
      </c>
      <c r="AK20" s="34">
        <f t="shared" ref="AK20:AK22" si="20">+Z20</f>
        <v>-3962.2124443974435</v>
      </c>
    </row>
    <row r="21" spans="1:37">
      <c r="A21" s="30" t="s">
        <v>70</v>
      </c>
      <c r="B21" s="34">
        <v>26914.726501672587</v>
      </c>
      <c r="C21" s="34">
        <v>30473.518966543881</v>
      </c>
      <c r="D21" s="34">
        <v>25537.790204127647</v>
      </c>
      <c r="E21" s="34">
        <v>21990.934013605649</v>
      </c>
      <c r="F21" s="34">
        <v>17777.806444714712</v>
      </c>
      <c r="G21" s="34">
        <v>16271.979485325921</v>
      </c>
      <c r="H21" s="34">
        <v>18908.296551328465</v>
      </c>
      <c r="I21" s="34">
        <v>20882.921410783965</v>
      </c>
      <c r="J21" s="34">
        <v>18002.718989553046</v>
      </c>
      <c r="K21" s="34">
        <v>16667.651973178392</v>
      </c>
      <c r="L21" s="34">
        <v>15040.31331531813</v>
      </c>
      <c r="M21" s="34">
        <v>20419.655804449445</v>
      </c>
      <c r="N21" s="34">
        <v>18900.117041382473</v>
      </c>
      <c r="O21" s="34">
        <v>58631.471462453803</v>
      </c>
      <c r="P21" s="34">
        <v>62252.750903798711</v>
      </c>
      <c r="Q21" s="34">
        <v>63613.411779411734</v>
      </c>
      <c r="R21" s="34">
        <v>60551.253130422003</v>
      </c>
      <c r="S21" s="34">
        <v>56860.930610919568</v>
      </c>
      <c r="T21" s="34">
        <v>53139</v>
      </c>
      <c r="U21" s="34">
        <v>49741.877878653002</v>
      </c>
      <c r="V21" s="34">
        <v>46650.061599143453</v>
      </c>
      <c r="W21" s="34">
        <v>43302.063350860641</v>
      </c>
      <c r="X21" s="34">
        <v>40035.59026966439</v>
      </c>
      <c r="Y21" s="34">
        <v>41047.442858053233</v>
      </c>
      <c r="Z21" s="34">
        <v>37001.525175620933</v>
      </c>
      <c r="AA21" s="34"/>
      <c r="AB21" s="34"/>
      <c r="AC21" s="34"/>
      <c r="AD21" s="30"/>
      <c r="AE21" s="34">
        <f t="shared" si="14"/>
        <v>21990.934013605649</v>
      </c>
      <c r="AF21" s="34">
        <f t="shared" si="15"/>
        <v>20882.921410783965</v>
      </c>
      <c r="AG21" s="34">
        <f t="shared" si="16"/>
        <v>20419.655804449445</v>
      </c>
      <c r="AH21" s="34">
        <f t="shared" si="17"/>
        <v>63613.411779411734</v>
      </c>
      <c r="AI21" s="34">
        <f t="shared" si="18"/>
        <v>49741.877878653002</v>
      </c>
      <c r="AJ21" s="34">
        <f t="shared" si="19"/>
        <v>41047.442858053233</v>
      </c>
      <c r="AK21" s="34">
        <f t="shared" si="20"/>
        <v>37001.525175620933</v>
      </c>
    </row>
    <row r="22" spans="1:37">
      <c r="A22" s="30" t="s">
        <v>104</v>
      </c>
      <c r="B22" s="34">
        <v>14460.701876967709</v>
      </c>
      <c r="C22" s="34">
        <v>14365.30654430506</v>
      </c>
      <c r="D22" s="34">
        <v>13655.240080932956</v>
      </c>
      <c r="E22" s="34">
        <v>13266.284597231477</v>
      </c>
      <c r="F22" s="34">
        <v>13261.288877207529</v>
      </c>
      <c r="G22" s="34">
        <v>13993.612855049594</v>
      </c>
      <c r="H22" s="34">
        <v>15822.325421736341</v>
      </c>
      <c r="I22" s="34">
        <v>14315.789559797458</v>
      </c>
      <c r="J22" s="34">
        <v>13127.019712370109</v>
      </c>
      <c r="K22" s="34">
        <v>12508.645878371346</v>
      </c>
      <c r="L22" s="34">
        <v>10270.598496415987</v>
      </c>
      <c r="M22" s="34">
        <v>9174.8066862496253</v>
      </c>
      <c r="N22" s="34">
        <v>7604.0027751543148</v>
      </c>
      <c r="O22" s="34">
        <v>11970.906845143505</v>
      </c>
      <c r="P22" s="34">
        <v>13390.712117573499</v>
      </c>
      <c r="Q22" s="34">
        <v>13873.878512058624</v>
      </c>
      <c r="R22" s="34">
        <v>13828.243535810239</v>
      </c>
      <c r="S22" s="34">
        <v>14244.429551850095</v>
      </c>
      <c r="T22" s="34">
        <v>14680</v>
      </c>
      <c r="U22" s="34">
        <v>14465.55978908912</v>
      </c>
      <c r="V22" s="34">
        <v>14091.743520737655</v>
      </c>
      <c r="W22" s="34">
        <v>13695.430268348746</v>
      </c>
      <c r="X22" s="34">
        <v>13178.063592134624</v>
      </c>
      <c r="Y22" s="34">
        <v>15245.658060101159</v>
      </c>
      <c r="Z22" s="34">
        <v>15221.616011240259</v>
      </c>
      <c r="AA22" s="34"/>
      <c r="AB22" s="34"/>
      <c r="AC22" s="34"/>
      <c r="AD22" s="30"/>
      <c r="AE22" s="34">
        <f t="shared" si="14"/>
        <v>13266.284597231477</v>
      </c>
      <c r="AF22" s="34">
        <f t="shared" si="15"/>
        <v>14315.789559797458</v>
      </c>
      <c r="AG22" s="34">
        <f t="shared" si="16"/>
        <v>9174.8066862496253</v>
      </c>
      <c r="AH22" s="34">
        <f t="shared" si="17"/>
        <v>13873.878512058624</v>
      </c>
      <c r="AI22" s="34">
        <f t="shared" si="18"/>
        <v>14465.55978908912</v>
      </c>
      <c r="AJ22" s="34">
        <f t="shared" si="19"/>
        <v>15245.658060101159</v>
      </c>
      <c r="AK22" s="34">
        <f t="shared" si="20"/>
        <v>15221.616011240259</v>
      </c>
    </row>
    <row r="23" spans="1:37">
      <c r="A23" s="33" t="s">
        <v>79</v>
      </c>
      <c r="B23" s="39">
        <v>40589.956660905475</v>
      </c>
      <c r="C23" s="39">
        <v>43798.639375618441</v>
      </c>
      <c r="D23" s="39">
        <v>37992.18090105911</v>
      </c>
      <c r="E23" s="39">
        <v>33379.705787569452</v>
      </c>
      <c r="F23" s="39">
        <f>SUM(F20:F22)</f>
        <v>29730.163476945505</v>
      </c>
      <c r="G23" s="39">
        <f>SUM(G20:G22)</f>
        <v>28867.47543592623</v>
      </c>
      <c r="H23" s="39">
        <f>SUM(H20:H22)</f>
        <v>32545.925534116854</v>
      </c>
      <c r="I23" s="39">
        <f>SUM(I20:I22)</f>
        <v>33029.271633587654</v>
      </c>
      <c r="J23" s="39">
        <f t="shared" ref="J23:L23" si="21">SUM(J20:J22)</f>
        <v>29023.127290842371</v>
      </c>
      <c r="K23" s="39">
        <f t="shared" si="21"/>
        <v>27207.343265544179</v>
      </c>
      <c r="L23" s="39">
        <f t="shared" si="21"/>
        <v>23469.304469637587</v>
      </c>
      <c r="M23" s="39">
        <f t="shared" ref="M23:AK23" si="22">SUM(M20:M22)</f>
        <v>28271.397518388141</v>
      </c>
      <c r="N23" s="39">
        <f t="shared" si="22"/>
        <v>25166.354889031361</v>
      </c>
      <c r="O23" s="39">
        <f t="shared" si="22"/>
        <v>68879.546518187533</v>
      </c>
      <c r="P23" s="39">
        <f t="shared" si="22"/>
        <v>73129.132506345239</v>
      </c>
      <c r="Q23" s="39">
        <f t="shared" si="22"/>
        <v>74815.633308129807</v>
      </c>
      <c r="R23" s="39">
        <f t="shared" si="22"/>
        <v>71181.754515831839</v>
      </c>
      <c r="S23" s="39">
        <f t="shared" si="22"/>
        <v>67700.900524800265</v>
      </c>
      <c r="T23" s="39">
        <f t="shared" si="22"/>
        <v>64238</v>
      </c>
      <c r="U23" s="39">
        <f t="shared" si="22"/>
        <v>60501.646584207214</v>
      </c>
      <c r="V23" s="39">
        <f t="shared" si="22"/>
        <v>56934.366114225937</v>
      </c>
      <c r="W23" s="39">
        <f t="shared" si="22"/>
        <v>53465.510098959487</v>
      </c>
      <c r="X23" s="39">
        <f t="shared" si="22"/>
        <v>49655.422000885126</v>
      </c>
      <c r="Y23" s="39">
        <f t="shared" si="22"/>
        <v>52637.741070149939</v>
      </c>
      <c r="Z23" s="39">
        <f t="shared" si="22"/>
        <v>48260.928742463744</v>
      </c>
      <c r="AA23" s="39">
        <f t="shared" si="22"/>
        <v>0</v>
      </c>
      <c r="AB23" s="39">
        <f t="shared" si="22"/>
        <v>0</v>
      </c>
      <c r="AC23" s="39">
        <f t="shared" si="22"/>
        <v>0</v>
      </c>
      <c r="AD23" s="30"/>
      <c r="AE23" s="39">
        <f t="shared" si="22"/>
        <v>33379.705787569452</v>
      </c>
      <c r="AF23" s="39">
        <f t="shared" si="22"/>
        <v>33029.271633587654</v>
      </c>
      <c r="AG23" s="39">
        <f t="shared" si="22"/>
        <v>28271.397518388141</v>
      </c>
      <c r="AH23" s="39">
        <f t="shared" si="22"/>
        <v>74815.633308129807</v>
      </c>
      <c r="AI23" s="39">
        <f t="shared" si="22"/>
        <v>60501.646584207214</v>
      </c>
      <c r="AJ23" s="39">
        <f t="shared" si="22"/>
        <v>52637.741070149939</v>
      </c>
      <c r="AK23" s="39">
        <f t="shared" si="22"/>
        <v>48260.928742463744</v>
      </c>
    </row>
    <row r="24" spans="1:37">
      <c r="AE24" s="22"/>
      <c r="AF24" s="22"/>
      <c r="AG24" s="22"/>
      <c r="AH24" s="22"/>
      <c r="AI24" s="22"/>
      <c r="AJ24" s="22"/>
      <c r="AK24" s="22"/>
    </row>
  </sheetData>
  <pageMargins left="0.7" right="0.7" top="0.75" bottom="0.75" header="0.3" footer="0.3"/>
  <pageSetup orientation="portrait" r:id="rId1"/>
  <ignoredErrors>
    <ignoredError sqref="H7:H10" formulaRange="1"/>
    <ignoredError sqref="AE20:AK20 AE9:AK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D922-D320-443F-8B50-CE27697397F8}">
  <sheetPr>
    <tabColor rgb="FF69D8FF"/>
    <pageSetUpPr fitToPage="1"/>
  </sheetPr>
  <dimension ref="A1:AK60"/>
  <sheetViews>
    <sheetView showGridLines="0" zoomScaleNormal="100" workbookViewId="0">
      <pane xSplit="1" ySplit="4" topLeftCell="B5" activePane="bottomRight" state="frozen"/>
      <selection pane="topRight" activeCell="H1" sqref="H1"/>
      <selection pane="bottomLeft" activeCell="A7" sqref="A7"/>
      <selection pane="bottomRight" activeCell="T10" sqref="T10"/>
    </sheetView>
  </sheetViews>
  <sheetFormatPr defaultColWidth="9.44140625" defaultRowHeight="13.5" outlineLevelRow="1"/>
  <cols>
    <col min="1" max="1" width="27.5546875" style="38" customWidth="1"/>
    <col min="2" max="26" width="7.6640625" style="23" bestFit="1" customWidth="1"/>
    <col min="27" max="29" width="7.6640625" style="23" hidden="1" customWidth="1"/>
    <col min="30" max="16384" width="9.44140625" style="23"/>
  </cols>
  <sheetData>
    <row r="1" spans="1:37" ht="25.5">
      <c r="A1" s="69" t="s">
        <v>105</v>
      </c>
      <c r="B1" s="60" t="s">
        <v>155</v>
      </c>
      <c r="C1" s="60" t="s">
        <v>156</v>
      </c>
      <c r="D1" s="60" t="s">
        <v>157</v>
      </c>
      <c r="E1" s="60" t="s">
        <v>158</v>
      </c>
      <c r="F1" s="60" t="s">
        <v>159</v>
      </c>
      <c r="G1" s="60" t="s">
        <v>160</v>
      </c>
      <c r="H1" s="60" t="s">
        <v>161</v>
      </c>
      <c r="I1" s="60" t="s">
        <v>162</v>
      </c>
      <c r="J1" s="60" t="s">
        <v>163</v>
      </c>
      <c r="K1" s="60" t="s">
        <v>164</v>
      </c>
      <c r="L1" s="60" t="s">
        <v>165</v>
      </c>
      <c r="M1" s="60" t="s">
        <v>166</v>
      </c>
      <c r="N1" s="60" t="s">
        <v>167</v>
      </c>
      <c r="O1" s="60" t="s">
        <v>168</v>
      </c>
      <c r="P1" s="60" t="s">
        <v>169</v>
      </c>
      <c r="Q1" s="60" t="s">
        <v>170</v>
      </c>
      <c r="R1" s="60" t="s">
        <v>171</v>
      </c>
      <c r="S1" s="60" t="s">
        <v>172</v>
      </c>
      <c r="T1" s="60" t="s">
        <v>173</v>
      </c>
      <c r="U1" s="60" t="s">
        <v>174</v>
      </c>
      <c r="V1" s="60" t="s">
        <v>187</v>
      </c>
      <c r="W1" s="60" t="s">
        <v>188</v>
      </c>
      <c r="X1" s="60" t="s">
        <v>189</v>
      </c>
      <c r="Y1" s="60" t="s">
        <v>190</v>
      </c>
      <c r="Z1" s="60" t="s">
        <v>195</v>
      </c>
      <c r="AA1" s="60" t="s">
        <v>196</v>
      </c>
      <c r="AB1" s="60" t="s">
        <v>197</v>
      </c>
      <c r="AC1" s="60" t="s">
        <v>198</v>
      </c>
    </row>
    <row r="2" spans="1:37" ht="15">
      <c r="A2" s="30"/>
      <c r="AD2" s="1"/>
    </row>
    <row r="3" spans="1:37" s="53" customFormat="1">
      <c r="A3" s="61"/>
      <c r="B3" s="28">
        <v>2020</v>
      </c>
      <c r="C3" s="28">
        <v>2020</v>
      </c>
      <c r="D3" s="28">
        <v>2020</v>
      </c>
      <c r="E3" s="28">
        <v>2020</v>
      </c>
      <c r="F3" s="28">
        <v>2021</v>
      </c>
      <c r="G3" s="28">
        <v>2021</v>
      </c>
      <c r="H3" s="28">
        <v>2021</v>
      </c>
      <c r="I3" s="28">
        <v>2021</v>
      </c>
      <c r="J3" s="28">
        <v>2022</v>
      </c>
      <c r="K3" s="28">
        <v>2022</v>
      </c>
      <c r="L3" s="28">
        <v>2022</v>
      </c>
      <c r="M3" s="28">
        <v>2022</v>
      </c>
      <c r="N3" s="28">
        <v>2023</v>
      </c>
      <c r="O3" s="28">
        <v>2023</v>
      </c>
      <c r="P3" s="28">
        <v>2023</v>
      </c>
      <c r="Q3" s="28">
        <v>2023</v>
      </c>
      <c r="R3" s="28">
        <v>2024</v>
      </c>
      <c r="S3" s="28">
        <v>2024</v>
      </c>
      <c r="T3" s="28">
        <v>2024</v>
      </c>
      <c r="U3" s="28">
        <v>2024</v>
      </c>
      <c r="V3" s="28">
        <v>2025</v>
      </c>
      <c r="W3" s="28">
        <v>2025</v>
      </c>
      <c r="X3" s="28">
        <v>2025</v>
      </c>
      <c r="Y3" s="28">
        <v>2025</v>
      </c>
      <c r="Z3" s="28">
        <v>2026</v>
      </c>
      <c r="AA3" s="28">
        <v>2026</v>
      </c>
      <c r="AB3" s="28">
        <v>2026</v>
      </c>
      <c r="AC3" s="28">
        <v>2026</v>
      </c>
      <c r="AD3" s="52"/>
      <c r="AF3" s="52"/>
      <c r="AG3" s="52"/>
      <c r="AH3" s="52"/>
      <c r="AI3" s="52"/>
      <c r="AJ3" s="52"/>
      <c r="AK3" s="52"/>
    </row>
    <row r="4" spans="1:37">
      <c r="A4" s="71" t="s">
        <v>4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0</v>
      </c>
      <c r="G4" s="29" t="s">
        <v>1</v>
      </c>
      <c r="H4" s="29" t="s">
        <v>2</v>
      </c>
      <c r="I4" s="29" t="s">
        <v>3</v>
      </c>
      <c r="J4" s="29" t="s">
        <v>0</v>
      </c>
      <c r="K4" s="29" t="s">
        <v>1</v>
      </c>
      <c r="L4" s="29" t="s">
        <v>2</v>
      </c>
      <c r="M4" s="29" t="s">
        <v>3</v>
      </c>
      <c r="N4" s="29" t="s">
        <v>0</v>
      </c>
      <c r="O4" s="29" t="s">
        <v>1</v>
      </c>
      <c r="P4" s="29" t="s">
        <v>2</v>
      </c>
      <c r="Q4" s="29" t="s">
        <v>3</v>
      </c>
      <c r="R4" s="29" t="s">
        <v>0</v>
      </c>
      <c r="S4" s="29" t="s">
        <v>1</v>
      </c>
      <c r="T4" s="29" t="s">
        <v>2</v>
      </c>
      <c r="U4" s="29" t="s">
        <v>3</v>
      </c>
      <c r="V4" s="29" t="s">
        <v>0</v>
      </c>
      <c r="W4" s="29" t="s">
        <v>1</v>
      </c>
      <c r="X4" s="29" t="s">
        <v>2</v>
      </c>
      <c r="Y4" s="29" t="s">
        <v>3</v>
      </c>
      <c r="Z4" s="29" t="s">
        <v>0</v>
      </c>
      <c r="AA4" s="29" t="s">
        <v>1</v>
      </c>
      <c r="AB4" s="29" t="s">
        <v>2</v>
      </c>
      <c r="AC4" s="29" t="s">
        <v>3</v>
      </c>
      <c r="AD4" s="22"/>
      <c r="AF4" s="22"/>
      <c r="AG4" s="22"/>
      <c r="AH4" s="22"/>
      <c r="AI4" s="22"/>
      <c r="AJ4" s="22"/>
      <c r="AK4" s="22"/>
    </row>
    <row r="6" spans="1:37">
      <c r="A6" s="33" t="s">
        <v>213</v>
      </c>
    </row>
    <row r="7" spans="1:37">
      <c r="A7" s="30" t="s">
        <v>139</v>
      </c>
      <c r="B7" s="35">
        <v>130737.68838952623</v>
      </c>
      <c r="C7" s="35">
        <v>121581.84599540736</v>
      </c>
      <c r="D7" s="35">
        <v>109667.12830346057</v>
      </c>
      <c r="E7" s="35">
        <v>135647.48052821492</v>
      </c>
      <c r="F7" s="35">
        <v>144449.73499835099</v>
      </c>
      <c r="G7" s="35">
        <v>150825.18122903598</v>
      </c>
      <c r="H7" s="35">
        <v>138942.95135104901</v>
      </c>
      <c r="I7" s="35">
        <v>158738.40400930599</v>
      </c>
      <c r="J7" s="35">
        <v>176015.89136200937</v>
      </c>
      <c r="K7" s="35">
        <v>183507.16070667651</v>
      </c>
      <c r="L7" s="35">
        <v>170862.61382842905</v>
      </c>
      <c r="M7" s="35">
        <v>205454.10062824839</v>
      </c>
      <c r="N7" s="35">
        <v>230307.31655377697</v>
      </c>
      <c r="O7" s="35">
        <v>225236.11619295907</v>
      </c>
      <c r="P7" s="35">
        <v>193938.19927423974</v>
      </c>
      <c r="Q7" s="35">
        <v>222099.32212294984</v>
      </c>
      <c r="R7" s="35">
        <v>228491.55067398801</v>
      </c>
      <c r="S7" s="35">
        <v>224126.72756509256</v>
      </c>
      <c r="T7" s="35">
        <v>184245.05559664697</v>
      </c>
      <c r="U7" s="35">
        <v>211919.18286780643</v>
      </c>
      <c r="V7" s="35">
        <v>231630.78563822663</v>
      </c>
      <c r="W7" s="35">
        <v>202947.05872284021</v>
      </c>
      <c r="X7" s="35">
        <v>196267.74463843694</v>
      </c>
      <c r="Y7" s="35">
        <v>213438.73062247905</v>
      </c>
      <c r="Z7" s="35">
        <v>222867.65414517783</v>
      </c>
      <c r="AA7" s="35"/>
      <c r="AB7" s="35"/>
      <c r="AC7" s="35"/>
      <c r="AD7" s="35"/>
      <c r="AF7" s="41"/>
      <c r="AG7" s="41"/>
      <c r="AH7" s="41"/>
      <c r="AI7" s="41"/>
      <c r="AJ7" s="41"/>
      <c r="AK7" s="41"/>
    </row>
    <row r="8" spans="1:37">
      <c r="A8" s="30" t="s">
        <v>106</v>
      </c>
      <c r="B8" s="35">
        <v>121715.75257920602</v>
      </c>
      <c r="C8" s="35">
        <v>113211.96866898</v>
      </c>
      <c r="D8" s="35">
        <v>101725.31954077882</v>
      </c>
      <c r="E8" s="35">
        <v>125341.58932743438</v>
      </c>
      <c r="F8" s="35">
        <v>132428.3477759597</v>
      </c>
      <c r="G8" s="35">
        <v>138540.70802893597</v>
      </c>
      <c r="H8" s="35">
        <v>128980.18032666901</v>
      </c>
      <c r="I8" s="35">
        <v>147308.17103052197</v>
      </c>
      <c r="J8" s="35">
        <v>162044.61825191471</v>
      </c>
      <c r="K8" s="35">
        <v>169607.27834044117</v>
      </c>
      <c r="L8" s="35">
        <v>160568.85772263305</v>
      </c>
      <c r="M8" s="35">
        <v>191931.88508882144</v>
      </c>
      <c r="N8" s="35">
        <v>217112.90346043831</v>
      </c>
      <c r="O8" s="35">
        <v>208797.2426726046</v>
      </c>
      <c r="P8" s="35">
        <v>181605.64760176491</v>
      </c>
      <c r="Q8" s="35">
        <v>206162.66497397691</v>
      </c>
      <c r="R8" s="35">
        <v>212113.64994729467</v>
      </c>
      <c r="S8" s="35">
        <v>205239.16537986608</v>
      </c>
      <c r="T8" s="35">
        <v>169362.51511200183</v>
      </c>
      <c r="U8" s="35">
        <v>196332.56652221867</v>
      </c>
      <c r="V8" s="35">
        <v>214040.47939744455</v>
      </c>
      <c r="W8" s="35">
        <v>187903.73918031654</v>
      </c>
      <c r="X8" s="35">
        <v>181513.6840450512</v>
      </c>
      <c r="Y8" s="35">
        <v>198386.74588362622</v>
      </c>
      <c r="Z8" s="35">
        <v>209533.39050680326</v>
      </c>
      <c r="AA8" s="35"/>
      <c r="AB8" s="35"/>
      <c r="AC8" s="35"/>
      <c r="AD8" s="35"/>
    </row>
    <row r="9" spans="1:37">
      <c r="A9" s="30" t="s">
        <v>14</v>
      </c>
      <c r="B9" s="35">
        <v>26472.394626245892</v>
      </c>
      <c r="C9" s="35">
        <v>23491.582415072298</v>
      </c>
      <c r="D9" s="35">
        <v>19088.667546678455</v>
      </c>
      <c r="E9" s="35">
        <v>21255.346299692177</v>
      </c>
      <c r="F9" s="35">
        <v>28125.050150977029</v>
      </c>
      <c r="G9" s="35">
        <v>28559.902328863882</v>
      </c>
      <c r="H9" s="35">
        <v>20567.275091837386</v>
      </c>
      <c r="I9" s="35">
        <v>24373.578189547046</v>
      </c>
      <c r="J9" s="35">
        <v>33316.397238338322</v>
      </c>
      <c r="K9" s="35">
        <v>28813.11068019615</v>
      </c>
      <c r="L9" s="35">
        <v>18661.286646381577</v>
      </c>
      <c r="M9" s="35">
        <v>28180.331232484077</v>
      </c>
      <c r="N9" s="35">
        <v>40810.412078502442</v>
      </c>
      <c r="O9" s="35">
        <v>26372.159530797449</v>
      </c>
      <c r="P9" s="35">
        <v>16932.533289677445</v>
      </c>
      <c r="Q9" s="35">
        <v>26536.943970389366</v>
      </c>
      <c r="R9" s="35">
        <v>27704.649971156603</v>
      </c>
      <c r="S9" s="35">
        <v>29427.639884837688</v>
      </c>
      <c r="T9" s="35">
        <v>8287.0994448933998</v>
      </c>
      <c r="U9" s="35">
        <v>15598.101071531615</v>
      </c>
      <c r="V9" s="35">
        <v>29084.708741235318</v>
      </c>
      <c r="W9" s="35">
        <v>12383.80181570326</v>
      </c>
      <c r="X9" s="35">
        <v>15526.640891245414</v>
      </c>
      <c r="Y9" s="35">
        <v>11904.682703513703</v>
      </c>
      <c r="Z9" s="35">
        <v>24613.77452968993</v>
      </c>
      <c r="AA9" s="35"/>
      <c r="AB9" s="35"/>
      <c r="AC9" s="35"/>
      <c r="AD9" s="35"/>
    </row>
    <row r="10" spans="1:37" s="55" customFormat="1">
      <c r="A10" s="54" t="s">
        <v>15</v>
      </c>
      <c r="B10" s="48">
        <v>0.20248479954282772</v>
      </c>
      <c r="C10" s="48">
        <v>0.19321620117496546</v>
      </c>
      <c r="D10" s="48">
        <v>0.17406006560013212</v>
      </c>
      <c r="E10" s="48">
        <v>0.15669547430533387</v>
      </c>
      <c r="F10" s="48">
        <v>0.19470475422677722</v>
      </c>
      <c r="G10" s="48">
        <v>0.18935765298696486</v>
      </c>
      <c r="H10" s="48">
        <v>0.14802676128472855</v>
      </c>
      <c r="I10" s="48">
        <v>0.15354556662997665</v>
      </c>
      <c r="J10" s="48">
        <v>0.18928062108788216</v>
      </c>
      <c r="K10" s="48">
        <v>0.1570135496033962</v>
      </c>
      <c r="L10" s="48">
        <v>0.10921808011856957</v>
      </c>
      <c r="M10" s="48">
        <v>0.13716120119439221</v>
      </c>
      <c r="N10" s="48">
        <v>0.17719980714973585</v>
      </c>
      <c r="O10" s="48">
        <v>0.11708672648308543</v>
      </c>
      <c r="P10" s="48">
        <v>8.7308912597120036E-2</v>
      </c>
      <c r="Q10" s="48">
        <v>0.119482327621419</v>
      </c>
      <c r="R10" s="48">
        <v>0.12125021642785219</v>
      </c>
      <c r="S10" s="48">
        <v>0.13129911012639531</v>
      </c>
      <c r="T10" s="48">
        <v>4.4978680258512267E-2</v>
      </c>
      <c r="U10" s="48">
        <v>7.3604007246770062E-2</v>
      </c>
      <c r="V10" s="48">
        <v>0.12556495312614177</v>
      </c>
      <c r="W10" s="48">
        <v>6.1019863473929487E-2</v>
      </c>
      <c r="X10" s="48">
        <v>7.9109488519616314E-2</v>
      </c>
      <c r="Y10" s="48">
        <v>5.5775644227242793E-2</v>
      </c>
      <c r="Z10" s="48">
        <v>0.11044121509735241</v>
      </c>
      <c r="AA10" s="48"/>
      <c r="AB10" s="48"/>
      <c r="AC10" s="48"/>
      <c r="AD10" s="48"/>
    </row>
    <row r="11" spans="1:37" hidden="1" outlineLevel="1">
      <c r="A11" s="30" t="s">
        <v>178</v>
      </c>
      <c r="B11" s="35">
        <v>26472.394626245892</v>
      </c>
      <c r="C11" s="35">
        <v>23491.582415072298</v>
      </c>
      <c r="D11" s="35">
        <v>19088.667546678455</v>
      </c>
      <c r="E11" s="35">
        <v>21255.346299692177</v>
      </c>
      <c r="F11" s="35">
        <v>28125.050150977029</v>
      </c>
      <c r="G11" s="35">
        <v>28559.902328863882</v>
      </c>
      <c r="H11" s="35">
        <v>20567.275091837386</v>
      </c>
      <c r="I11" s="35">
        <v>24373.578189547046</v>
      </c>
      <c r="J11" s="35">
        <v>33316.397238338322</v>
      </c>
      <c r="K11" s="35">
        <v>28813.11068019615</v>
      </c>
      <c r="L11" s="35">
        <v>18661.286646381577</v>
      </c>
      <c r="M11" s="35">
        <v>28180.331232484077</v>
      </c>
      <c r="N11" s="35">
        <v>40810.412078502442</v>
      </c>
      <c r="O11" s="35">
        <v>26372.159530797449</v>
      </c>
      <c r="P11" s="35">
        <v>16932.533289677434</v>
      </c>
      <c r="Q11" s="35">
        <v>29536.283970389373</v>
      </c>
      <c r="R11" s="35">
        <v>27704.649971156614</v>
      </c>
      <c r="S11" s="35">
        <v>29427.639884837699</v>
      </c>
      <c r="T11" s="35">
        <v>8287.0994448933925</v>
      </c>
      <c r="U11" s="35">
        <v>19989.518503773292</v>
      </c>
      <c r="V11" s="35">
        <v>29084.708741235314</v>
      </c>
      <c r="W11" s="35">
        <v>12383.801815703249</v>
      </c>
      <c r="X11" s="35">
        <v>15526.640891245421</v>
      </c>
      <c r="Y11" s="35">
        <v>11904.68270351371</v>
      </c>
      <c r="Z11" s="35">
        <v>24613.774529689923</v>
      </c>
      <c r="AA11" s="35"/>
      <c r="AB11" s="35"/>
      <c r="AC11" s="35"/>
      <c r="AD11" s="35"/>
    </row>
    <row r="12" spans="1:37" s="56" customFormat="1" hidden="1" outlineLevel="1">
      <c r="A12" s="48" t="s">
        <v>179</v>
      </c>
      <c r="B12" s="48">
        <v>0.20248479954282772</v>
      </c>
      <c r="C12" s="48">
        <v>0.19321620117496546</v>
      </c>
      <c r="D12" s="48">
        <v>0.17406006560013212</v>
      </c>
      <c r="E12" s="48">
        <v>0.15669547430533387</v>
      </c>
      <c r="F12" s="48">
        <v>0.19470475422677722</v>
      </c>
      <c r="G12" s="48">
        <v>0.18935765298696486</v>
      </c>
      <c r="H12" s="48">
        <v>0.14802676128472855</v>
      </c>
      <c r="I12" s="48">
        <v>0.15354556662997665</v>
      </c>
      <c r="J12" s="48">
        <v>0.18928062108788216</v>
      </c>
      <c r="K12" s="48">
        <v>0.1570135496033962</v>
      </c>
      <c r="L12" s="48">
        <v>0.10921808011856957</v>
      </c>
      <c r="M12" s="48">
        <v>0.13716120119439221</v>
      </c>
      <c r="N12" s="48">
        <v>0.17719980714973585</v>
      </c>
      <c r="O12" s="48">
        <v>0.11708672648308543</v>
      </c>
      <c r="P12" s="48">
        <v>8.7308912597119981E-2</v>
      </c>
      <c r="Q12" s="48">
        <v>0.13298682629044073</v>
      </c>
      <c r="R12" s="48">
        <v>0.12125021642785225</v>
      </c>
      <c r="S12" s="48">
        <v>0.13129911012639536</v>
      </c>
      <c r="T12" s="48">
        <v>4.4978680258512226E-2</v>
      </c>
      <c r="U12" s="48">
        <v>9.4326139961773067E-2</v>
      </c>
      <c r="V12" s="48">
        <v>0.12556495312614174</v>
      </c>
      <c r="W12" s="48">
        <v>6.1019863473929431E-2</v>
      </c>
      <c r="X12" s="48">
        <v>7.9109488519616356E-2</v>
      </c>
      <c r="Y12" s="48">
        <v>5.5775644227242828E-2</v>
      </c>
      <c r="Z12" s="48">
        <v>0.11044121509735239</v>
      </c>
      <c r="AA12" s="48"/>
      <c r="AB12" s="48"/>
      <c r="AC12" s="48"/>
      <c r="AD12" s="48"/>
    </row>
    <row r="13" spans="1:37" hidden="1" outlineLevel="1">
      <c r="A13" s="30" t="s">
        <v>154</v>
      </c>
      <c r="B13" s="35">
        <v>18691.379146718842</v>
      </c>
      <c r="C13" s="35">
        <v>15552.161634119519</v>
      </c>
      <c r="D13" s="35">
        <v>11322.156594894288</v>
      </c>
      <c r="E13" s="35">
        <v>13611.560442874863</v>
      </c>
      <c r="F13" s="35">
        <v>22124.937031293259</v>
      </c>
      <c r="G13" s="35">
        <v>22449.128516773373</v>
      </c>
      <c r="H13" s="35">
        <v>14349.500245827425</v>
      </c>
      <c r="I13" s="35">
        <v>18120.503189547046</v>
      </c>
      <c r="J13" s="35">
        <v>26145.79218432153</v>
      </c>
      <c r="K13" s="35">
        <v>21495.429644678195</v>
      </c>
      <c r="L13" s="35">
        <v>10154.536915369652</v>
      </c>
      <c r="M13" s="35">
        <v>19422.490496219456</v>
      </c>
      <c r="N13" s="35">
        <v>33221.44332677903</v>
      </c>
      <c r="O13" s="35">
        <v>18372.147758926352</v>
      </c>
      <c r="P13" s="35">
        <v>8701.3069467018067</v>
      </c>
      <c r="Q13" s="35">
        <v>21057.35001651946</v>
      </c>
      <c r="R13" s="35">
        <v>19237.099200500787</v>
      </c>
      <c r="S13" s="35">
        <v>21108.722370689415</v>
      </c>
      <c r="T13" s="35">
        <v>146.98880770627875</v>
      </c>
      <c r="U13" s="35">
        <v>11906.98529146225</v>
      </c>
      <c r="V13" s="35">
        <v>21041.553690360393</v>
      </c>
      <c r="W13" s="35">
        <v>4354.5145375466382</v>
      </c>
      <c r="X13" s="35">
        <v>7555.1664970456623</v>
      </c>
      <c r="Y13" s="35">
        <v>3847.6098245045578</v>
      </c>
      <c r="Z13" s="35">
        <v>16662.395325489138</v>
      </c>
      <c r="AA13" s="35"/>
      <c r="AB13" s="35"/>
      <c r="AC13" s="35"/>
      <c r="AD13" s="35"/>
    </row>
    <row r="14" spans="1:37" s="56" customFormat="1" hidden="1" outlineLevel="1">
      <c r="A14" s="48" t="s">
        <v>153</v>
      </c>
      <c r="B14" s="48">
        <v>0.14296856076442807</v>
      </c>
      <c r="C14" s="48">
        <v>0.12791516288300958</v>
      </c>
      <c r="D14" s="48">
        <v>0.10324111490878725</v>
      </c>
      <c r="E14" s="48">
        <v>0.10034510327704638</v>
      </c>
      <c r="F14" s="48">
        <v>0.15316703095056444</v>
      </c>
      <c r="G14" s="48">
        <v>0.14884204569715179</v>
      </c>
      <c r="H14" s="48">
        <v>0.10327620153664663</v>
      </c>
      <c r="I14" s="48">
        <v>0.11415324037455193</v>
      </c>
      <c r="J14" s="48">
        <v>0.14854222526162625</v>
      </c>
      <c r="K14" s="48">
        <v>0.11713673494756507</v>
      </c>
      <c r="L14" s="48">
        <v>5.9431005343078068E-2</v>
      </c>
      <c r="M14" s="48">
        <v>9.4534450453061483E-2</v>
      </c>
      <c r="N14" s="48">
        <v>0.14424831926267437</v>
      </c>
      <c r="O14" s="48">
        <v>8.1568391736905069E-2</v>
      </c>
      <c r="P14" s="48">
        <v>4.4866390320545665E-2</v>
      </c>
      <c r="Q14" s="48">
        <v>9.4810510069285675E-2</v>
      </c>
      <c r="R14" s="48">
        <v>8.4191731132974373E-2</v>
      </c>
      <c r="S14" s="48">
        <v>9.4182084394904941E-2</v>
      </c>
      <c r="T14" s="48">
        <v>7.9778970040894691E-4</v>
      </c>
      <c r="U14" s="48">
        <v>5.6186443956278066E-2</v>
      </c>
      <c r="V14" s="48">
        <v>9.0840920097832845E-2</v>
      </c>
      <c r="W14" s="48">
        <v>2.1456406241853895E-2</v>
      </c>
      <c r="X14" s="48">
        <v>3.8494183091387413E-2</v>
      </c>
      <c r="Y14" s="48">
        <v>1.8026764932883896E-2</v>
      </c>
      <c r="Z14" s="48">
        <v>7.4763632207637973E-2</v>
      </c>
      <c r="AA14" s="48"/>
      <c r="AB14" s="48"/>
      <c r="AC14" s="48"/>
      <c r="AD14" s="48"/>
    </row>
    <row r="15" spans="1:37" s="37" customFormat="1" collapsed="1">
      <c r="A15" s="30" t="s">
        <v>107</v>
      </c>
      <c r="B15" s="36">
        <v>18691.379146718842</v>
      </c>
      <c r="C15" s="36">
        <v>15552.161634119519</v>
      </c>
      <c r="D15" s="36">
        <v>11322.156594894288</v>
      </c>
      <c r="E15" s="36">
        <v>13611.560442874863</v>
      </c>
      <c r="F15" s="36">
        <v>22124.937031293259</v>
      </c>
      <c r="G15" s="36">
        <v>22449.128516773373</v>
      </c>
      <c r="H15" s="36">
        <v>14349.500245827425</v>
      </c>
      <c r="I15" s="36">
        <v>18120.503189547046</v>
      </c>
      <c r="J15" s="36">
        <v>26145.79218432153</v>
      </c>
      <c r="K15" s="36">
        <v>21495.429644678195</v>
      </c>
      <c r="L15" s="36">
        <v>10154.536915369652</v>
      </c>
      <c r="M15" s="36">
        <v>19422.490496219456</v>
      </c>
      <c r="N15" s="36">
        <v>33221.44332677903</v>
      </c>
      <c r="O15" s="36">
        <v>18372.147758926352</v>
      </c>
      <c r="P15" s="36">
        <v>8701.3069467018067</v>
      </c>
      <c r="Q15" s="36">
        <v>18058.01001651946</v>
      </c>
      <c r="R15" s="36">
        <v>19237.099200500787</v>
      </c>
      <c r="S15" s="36">
        <v>21108.722370689415</v>
      </c>
      <c r="T15" s="36">
        <v>146.98880770627875</v>
      </c>
      <c r="U15" s="36">
        <v>7515.5678592205795</v>
      </c>
      <c r="V15" s="36">
        <v>21041.553690360393</v>
      </c>
      <c r="W15" s="36">
        <v>4354.5145375466382</v>
      </c>
      <c r="X15" s="36">
        <v>7555.1664970456623</v>
      </c>
      <c r="Y15" s="36">
        <v>3847.6098245045578</v>
      </c>
      <c r="Z15" s="36">
        <v>16662.395325489138</v>
      </c>
      <c r="AA15" s="36"/>
      <c r="AB15" s="36"/>
      <c r="AC15" s="36"/>
      <c r="AD15" s="36"/>
    </row>
    <row r="16" spans="1:37" s="57" customFormat="1">
      <c r="A16" s="48" t="s">
        <v>17</v>
      </c>
      <c r="B16" s="49">
        <v>0.14296856076442807</v>
      </c>
      <c r="C16" s="49">
        <v>0.12791516288300958</v>
      </c>
      <c r="D16" s="49">
        <v>0.10324111490878725</v>
      </c>
      <c r="E16" s="49">
        <v>0.10034510327704638</v>
      </c>
      <c r="F16" s="49">
        <v>0.15316703095056444</v>
      </c>
      <c r="G16" s="49">
        <v>0.14884204569715179</v>
      </c>
      <c r="H16" s="49">
        <v>0.10327620153664663</v>
      </c>
      <c r="I16" s="49">
        <v>0.11415324037455193</v>
      </c>
      <c r="J16" s="49">
        <v>0.14854222526162625</v>
      </c>
      <c r="K16" s="49">
        <v>0.11713673494756507</v>
      </c>
      <c r="L16" s="49">
        <v>5.9431005343078068E-2</v>
      </c>
      <c r="M16" s="49">
        <v>9.4534450453061483E-2</v>
      </c>
      <c r="N16" s="49">
        <v>0.14424831926267437</v>
      </c>
      <c r="O16" s="49">
        <v>8.1568391736905069E-2</v>
      </c>
      <c r="P16" s="49">
        <v>4.4866390320545665E-2</v>
      </c>
      <c r="Q16" s="49">
        <v>8.1306011400263972E-2</v>
      </c>
      <c r="R16" s="49">
        <v>8.4191731132974373E-2</v>
      </c>
      <c r="S16" s="49">
        <v>9.4182084394904941E-2</v>
      </c>
      <c r="T16" s="49">
        <v>7.9778970040894691E-4</v>
      </c>
      <c r="U16" s="49">
        <v>3.5464311241275089E-2</v>
      </c>
      <c r="V16" s="49">
        <v>9.0840920097832845E-2</v>
      </c>
      <c r="W16" s="49">
        <v>2.1456406241853895E-2</v>
      </c>
      <c r="X16" s="49">
        <v>3.8494183091387413E-2</v>
      </c>
      <c r="Y16" s="49">
        <v>1.8026764932883896E-2</v>
      </c>
      <c r="Z16" s="49">
        <v>7.4763632207637973E-2</v>
      </c>
      <c r="AA16" s="49"/>
      <c r="AB16" s="49"/>
      <c r="AC16" s="49"/>
      <c r="AD16" s="49"/>
    </row>
    <row r="17" spans="1:30">
      <c r="A17" s="30" t="s">
        <v>38</v>
      </c>
      <c r="B17" s="35">
        <v>21047.522888626376</v>
      </c>
      <c r="C17" s="35">
        <v>14024.19415971679</v>
      </c>
      <c r="D17" s="35">
        <v>10306.140581976888</v>
      </c>
      <c r="E17" s="35">
        <v>13011.363126081602</v>
      </c>
      <c r="F17" s="35">
        <v>21912.937031293259</v>
      </c>
      <c r="G17" s="35">
        <v>22135.288516773373</v>
      </c>
      <c r="H17" s="35">
        <v>14302.090245827425</v>
      </c>
      <c r="I17" s="35">
        <v>17516.029462954422</v>
      </c>
      <c r="J17" s="35">
        <v>26041.257473975005</v>
      </c>
      <c r="K17" s="35">
        <v>21776.537082879608</v>
      </c>
      <c r="L17" s="35">
        <v>10914.910809104636</v>
      </c>
      <c r="M17" s="35">
        <v>19472.931890227155</v>
      </c>
      <c r="N17" s="35">
        <v>31732.44332677903</v>
      </c>
      <c r="O17" s="35">
        <v>19154.147758926352</v>
      </c>
      <c r="P17" s="35">
        <v>7631.968914398215</v>
      </c>
      <c r="Q17" s="35">
        <v>16893.501475799883</v>
      </c>
      <c r="R17" s="35">
        <v>18011.617533892269</v>
      </c>
      <c r="S17" s="35">
        <v>20470.098489227876</v>
      </c>
      <c r="T17" s="35">
        <v>-949.91475066205612</v>
      </c>
      <c r="U17" s="35">
        <v>7716.6405345886087</v>
      </c>
      <c r="V17" s="35">
        <v>18882.145162637571</v>
      </c>
      <c r="W17" s="35">
        <v>3206.9766635430638</v>
      </c>
      <c r="X17" s="35">
        <v>5626.0929567991107</v>
      </c>
      <c r="Y17" s="35">
        <v>2624.0147910575843</v>
      </c>
      <c r="Z17" s="35">
        <v>15933.967905591102</v>
      </c>
      <c r="AA17" s="35"/>
      <c r="AB17" s="35"/>
      <c r="AC17" s="35"/>
      <c r="AD17" s="35"/>
    </row>
    <row r="18" spans="1:30">
      <c r="A18" s="30" t="s">
        <v>40</v>
      </c>
      <c r="B18" s="35">
        <v>16225.586359226456</v>
      </c>
      <c r="C18" s="35">
        <v>9147.1237249711921</v>
      </c>
      <c r="D18" s="35">
        <v>5206.5475945830958</v>
      </c>
      <c r="E18" s="35">
        <v>7272.2979833781246</v>
      </c>
      <c r="F18" s="35">
        <v>17159.762946208393</v>
      </c>
      <c r="G18" s="35">
        <v>17332.016107261858</v>
      </c>
      <c r="H18" s="35">
        <v>11041.424140788511</v>
      </c>
      <c r="I18" s="35">
        <v>13000.064426259536</v>
      </c>
      <c r="J18" s="35">
        <v>19993.777054069276</v>
      </c>
      <c r="K18" s="35">
        <v>16546.606632730422</v>
      </c>
      <c r="L18" s="35">
        <v>8048.8596597879568</v>
      </c>
      <c r="M18" s="35">
        <v>16839.537077452656</v>
      </c>
      <c r="N18" s="35">
        <v>24477.25570290233</v>
      </c>
      <c r="O18" s="35">
        <v>14783.304628167763</v>
      </c>
      <c r="P18" s="35">
        <v>5843.3193511678137</v>
      </c>
      <c r="Q18" s="35">
        <v>11586.415445056462</v>
      </c>
      <c r="R18" s="35">
        <v>13937.841117431493</v>
      </c>
      <c r="S18" s="35">
        <v>16171.357154505275</v>
      </c>
      <c r="T18" s="35">
        <v>-877.03517981559571</v>
      </c>
      <c r="U18" s="35">
        <v>5751.9410837659443</v>
      </c>
      <c r="V18" s="35">
        <v>14538.096905311268</v>
      </c>
      <c r="W18" s="35">
        <v>1690.1974980905713</v>
      </c>
      <c r="X18" s="35">
        <v>3586.9511279438429</v>
      </c>
      <c r="Y18" s="35">
        <v>3157.8555724463881</v>
      </c>
      <c r="Z18" s="35">
        <v>12689.672654406706</v>
      </c>
      <c r="AA18" s="35"/>
      <c r="AB18" s="35"/>
      <c r="AC18" s="35"/>
      <c r="AD18" s="35"/>
    </row>
    <row r="19" spans="1:30">
      <c r="A19" s="30" t="s">
        <v>140</v>
      </c>
      <c r="B19" s="35">
        <v>16628.580754199284</v>
      </c>
      <c r="C19" s="35">
        <v>11278.104105201999</v>
      </c>
      <c r="D19" s="35">
        <v>10585.433674040045</v>
      </c>
      <c r="E19" s="35">
        <v>10141.253737456849</v>
      </c>
      <c r="F19" s="35">
        <v>14248.629926504567</v>
      </c>
      <c r="G19" s="35">
        <v>12780.96995242059</v>
      </c>
      <c r="H19" s="35">
        <v>7611.826742028461</v>
      </c>
      <c r="I19" s="35">
        <v>9506.9560781966375</v>
      </c>
      <c r="J19" s="35">
        <v>11341.708434890583</v>
      </c>
      <c r="K19" s="35">
        <v>14760.263892730422</v>
      </c>
      <c r="L19" s="35">
        <v>8048.8596597879568</v>
      </c>
      <c r="M19" s="35">
        <v>16839.537077452656</v>
      </c>
      <c r="N19" s="35">
        <v>24477.25570290233</v>
      </c>
      <c r="O19" s="35">
        <v>14783.304628167763</v>
      </c>
      <c r="P19" s="35">
        <v>5843.3193511678137</v>
      </c>
      <c r="Q19" s="35">
        <v>11586.415445056462</v>
      </c>
      <c r="R19" s="35">
        <v>13937.841117431493</v>
      </c>
      <c r="S19" s="35">
        <v>16171.357154505275</v>
      </c>
      <c r="T19" s="35">
        <v>-877.03517981559571</v>
      </c>
      <c r="U19" s="35">
        <v>5751.9410837659443</v>
      </c>
      <c r="V19" s="35">
        <v>14538.096905311268</v>
      </c>
      <c r="W19" s="35">
        <v>1690.1974980905713</v>
      </c>
      <c r="X19" s="35">
        <v>3586.9511279438429</v>
      </c>
      <c r="Y19" s="35">
        <v>3157.8555724463881</v>
      </c>
      <c r="Z19" s="35">
        <v>12689.672654406706</v>
      </c>
      <c r="AA19" s="35"/>
      <c r="AB19" s="35"/>
      <c r="AC19" s="35"/>
      <c r="AD19" s="35"/>
    </row>
    <row r="20" spans="1:30">
      <c r="A20" s="30"/>
    </row>
    <row r="21" spans="1:30">
      <c r="A21" s="33" t="s">
        <v>214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>
      <c r="A22" s="30" t="s">
        <v>48</v>
      </c>
      <c r="B22" s="35">
        <v>99818.590889314219</v>
      </c>
      <c r="C22" s="35">
        <v>99928.059280297923</v>
      </c>
      <c r="D22" s="35">
        <v>92116.907285782916</v>
      </c>
      <c r="E22" s="35">
        <v>82807.297190000012</v>
      </c>
      <c r="F22" s="35">
        <v>73219.255379990951</v>
      </c>
      <c r="G22" s="35">
        <v>80301.219997094333</v>
      </c>
      <c r="H22" s="35">
        <v>86630.478500025638</v>
      </c>
      <c r="I22" s="35">
        <v>86262.042236558191</v>
      </c>
      <c r="J22" s="35">
        <v>81146.476713224591</v>
      </c>
      <c r="K22" s="35">
        <v>82179.599390381423</v>
      </c>
      <c r="L22" s="35">
        <v>75935.427732067037</v>
      </c>
      <c r="M22" s="35">
        <v>78634.421413142729</v>
      </c>
      <c r="N22" s="35">
        <v>75123.746833622281</v>
      </c>
      <c r="O22" s="35">
        <v>118994.18766022421</v>
      </c>
      <c r="P22" s="35">
        <v>126072.27228764691</v>
      </c>
      <c r="Q22" s="35">
        <v>125575.0426880594</v>
      </c>
      <c r="R22" s="35">
        <v>119164.94115640323</v>
      </c>
      <c r="S22" s="35">
        <v>112864.81455960916</v>
      </c>
      <c r="T22" s="35">
        <v>107364.84122503473</v>
      </c>
      <c r="U22" s="35">
        <v>109768.48954211778</v>
      </c>
      <c r="V22" s="35">
        <v>104614.15800735087</v>
      </c>
      <c r="W22" s="35">
        <v>99791.348936332215</v>
      </c>
      <c r="X22" s="35">
        <v>95379.421849035163</v>
      </c>
      <c r="Y22" s="35">
        <v>97030.954945749079</v>
      </c>
      <c r="Z22" s="35">
        <v>92540.880687169352</v>
      </c>
      <c r="AA22" s="35"/>
      <c r="AB22" s="35"/>
      <c r="AC22" s="35"/>
      <c r="AD22" s="35"/>
    </row>
    <row r="23" spans="1:30">
      <c r="A23" s="30" t="s">
        <v>108</v>
      </c>
      <c r="B23" s="35">
        <v>50652.40815729255</v>
      </c>
      <c r="C23" s="35">
        <v>47850.779346340139</v>
      </c>
      <c r="D23" s="35">
        <v>57701.787205429013</v>
      </c>
      <c r="E23" s="35">
        <v>54398.868580179267</v>
      </c>
      <c r="F23" s="35">
        <v>41198.36570601623</v>
      </c>
      <c r="G23" s="35">
        <v>15387.716060002866</v>
      </c>
      <c r="H23" s="35">
        <v>22567.915915844722</v>
      </c>
      <c r="I23" s="35">
        <v>37455.541509453949</v>
      </c>
      <c r="J23" s="35">
        <v>29530.423045192958</v>
      </c>
      <c r="K23" s="35">
        <v>27083.30478666101</v>
      </c>
      <c r="L23" s="35">
        <v>40999.074497977592</v>
      </c>
      <c r="M23" s="35">
        <v>41934.098225110676</v>
      </c>
      <c r="N23" s="35">
        <v>49740.634170553298</v>
      </c>
      <c r="O23" s="35">
        <v>51981.98417055919</v>
      </c>
      <c r="P23" s="35">
        <v>42155.521992387192</v>
      </c>
      <c r="Q23" s="35">
        <v>49208.944615583969</v>
      </c>
      <c r="R23" s="35">
        <v>36070.203249264428</v>
      </c>
      <c r="S23" s="35">
        <v>29485.881148350643</v>
      </c>
      <c r="T23" s="35">
        <v>29797.008680719224</v>
      </c>
      <c r="U23" s="35">
        <v>52632.109513383846</v>
      </c>
      <c r="V23" s="35">
        <v>39115.104801808178</v>
      </c>
      <c r="W23" s="35">
        <v>35825.588158101848</v>
      </c>
      <c r="X23" s="35">
        <v>20903.514918307716</v>
      </c>
      <c r="Y23" s="35">
        <v>58433.669740769379</v>
      </c>
      <c r="Z23" s="35">
        <v>18507.481392165089</v>
      </c>
      <c r="AA23" s="35"/>
      <c r="AB23" s="35"/>
      <c r="AC23" s="35"/>
      <c r="AD23" s="35"/>
    </row>
    <row r="24" spans="1:30">
      <c r="A24" s="30" t="s">
        <v>109</v>
      </c>
      <c r="B24" s="35">
        <v>108063.69377563588</v>
      </c>
      <c r="C24" s="35">
        <v>86913.061428969435</v>
      </c>
      <c r="D24" s="35">
        <v>89615.049278834136</v>
      </c>
      <c r="E24" s="35">
        <v>87222.621449632512</v>
      </c>
      <c r="F24" s="35">
        <v>111825.63221359439</v>
      </c>
      <c r="G24" s="35">
        <v>124175.23687062797</v>
      </c>
      <c r="H24" s="35">
        <v>109536.26126384849</v>
      </c>
      <c r="I24" s="35">
        <v>97411.926639938072</v>
      </c>
      <c r="J24" s="35">
        <v>117324.33290164231</v>
      </c>
      <c r="K24" s="35">
        <v>121400.61109598698</v>
      </c>
      <c r="L24" s="35">
        <v>122838.98943306544</v>
      </c>
      <c r="M24" s="35">
        <v>113202.09136205097</v>
      </c>
      <c r="N24" s="35">
        <v>160301.33754108436</v>
      </c>
      <c r="O24" s="35">
        <v>147311.38901237282</v>
      </c>
      <c r="P24" s="35">
        <v>156401.35905597534</v>
      </c>
      <c r="Q24" s="35">
        <v>124414.31415696426</v>
      </c>
      <c r="R24" s="35">
        <v>167078.47100277714</v>
      </c>
      <c r="S24" s="35">
        <v>149852.94650648086</v>
      </c>
      <c r="T24" s="35">
        <v>138197.21501853768</v>
      </c>
      <c r="U24" s="35">
        <v>116289.84256055305</v>
      </c>
      <c r="V24" s="35">
        <v>155613.17751060799</v>
      </c>
      <c r="W24" s="35">
        <v>128270.01242196462</v>
      </c>
      <c r="X24" s="35">
        <v>135858.86451962768</v>
      </c>
      <c r="Y24" s="35">
        <v>115642.44800062955</v>
      </c>
      <c r="Z24" s="35">
        <v>147888.32578394297</v>
      </c>
      <c r="AA24" s="35"/>
      <c r="AB24" s="35"/>
      <c r="AC24" s="35"/>
      <c r="AD24" s="35"/>
    </row>
    <row r="25" spans="1:30">
      <c r="A25" s="30" t="s">
        <v>110</v>
      </c>
      <c r="B25" s="35">
        <v>258534.69282224265</v>
      </c>
      <c r="C25" s="35">
        <v>234691.90005560749</v>
      </c>
      <c r="D25" s="35">
        <v>239433.74377004607</v>
      </c>
      <c r="E25" s="35">
        <v>224428.78721981178</v>
      </c>
      <c r="F25" s="35">
        <v>226243.25329960155</v>
      </c>
      <c r="G25" s="35">
        <v>219864.17292772516</v>
      </c>
      <c r="H25" s="35">
        <v>218734.65567971885</v>
      </c>
      <c r="I25" s="35">
        <v>221129.51038595021</v>
      </c>
      <c r="J25" s="35">
        <v>228001.23266005988</v>
      </c>
      <c r="K25" s="35">
        <v>230663.51527302942</v>
      </c>
      <c r="L25" s="35">
        <v>239773.99166311006</v>
      </c>
      <c r="M25" s="35">
        <v>233770.61100030437</v>
      </c>
      <c r="N25" s="35">
        <v>285165.71854525991</v>
      </c>
      <c r="O25" s="35">
        <v>318287.56084315619</v>
      </c>
      <c r="P25" s="35">
        <v>324629.15333600942</v>
      </c>
      <c r="Q25" s="35">
        <v>299198.30146060762</v>
      </c>
      <c r="R25" s="35">
        <v>322313.61540844478</v>
      </c>
      <c r="S25" s="35">
        <v>292203.64221444068</v>
      </c>
      <c r="T25" s="35">
        <v>275359.06492429163</v>
      </c>
      <c r="U25" s="35">
        <v>278690.44161605468</v>
      </c>
      <c r="V25" s="35">
        <v>299342.44031976705</v>
      </c>
      <c r="W25" s="35">
        <v>263886.94951639872</v>
      </c>
      <c r="X25" s="35">
        <v>252141.80128697056</v>
      </c>
      <c r="Y25" s="35">
        <v>271107.072687148</v>
      </c>
      <c r="Z25" s="35">
        <v>258936.68786327742</v>
      </c>
      <c r="AA25" s="35"/>
      <c r="AB25" s="35"/>
      <c r="AC25" s="35"/>
      <c r="AD25" s="35"/>
    </row>
    <row r="26" spans="1:30">
      <c r="A26" s="30" t="s">
        <v>63</v>
      </c>
      <c r="B26" s="35">
        <v>66115.985535385538</v>
      </c>
      <c r="C26" s="35">
        <v>43566.001019216601</v>
      </c>
      <c r="D26" s="35">
        <v>57250.533558853829</v>
      </c>
      <c r="E26" s="35">
        <v>34341</v>
      </c>
      <c r="F26" s="35">
        <v>48677.82137365864</v>
      </c>
      <c r="G26" s="35">
        <v>27179.417539846127</v>
      </c>
      <c r="H26" s="35">
        <v>37705.317611836501</v>
      </c>
      <c r="I26" s="35">
        <v>39673.056721266788</v>
      </c>
      <c r="J26" s="35">
        <v>50020.944801826598</v>
      </c>
      <c r="K26" s="35">
        <v>57496.761603232924</v>
      </c>
      <c r="L26" s="35">
        <v>65016.261753971412</v>
      </c>
      <c r="M26" s="35">
        <v>49441.537902091928</v>
      </c>
      <c r="N26" s="35">
        <v>82272.191210378674</v>
      </c>
      <c r="O26" s="35">
        <v>74675.292930587864</v>
      </c>
      <c r="P26" s="35">
        <v>78916.202230858034</v>
      </c>
      <c r="Q26" s="35">
        <v>47887.130563997198</v>
      </c>
      <c r="R26" s="35">
        <v>63224.311915005223</v>
      </c>
      <c r="S26" s="35">
        <v>51483.94461819141</v>
      </c>
      <c r="T26" s="35">
        <v>51574.408735548073</v>
      </c>
      <c r="U26" s="35">
        <v>46713.625384788393</v>
      </c>
      <c r="V26" s="35">
        <v>59752.220648121358</v>
      </c>
      <c r="W26" s="35">
        <v>46709.436748906548</v>
      </c>
      <c r="X26" s="35">
        <v>50536.647181314685</v>
      </c>
      <c r="Y26" s="35">
        <v>45339.664121822731</v>
      </c>
      <c r="Z26" s="35">
        <v>51691.86770876254</v>
      </c>
      <c r="AA26" s="35"/>
      <c r="AB26" s="35"/>
      <c r="AC26" s="35"/>
      <c r="AD26" s="35"/>
    </row>
    <row r="27" spans="1:30">
      <c r="A27" s="30" t="s">
        <v>71</v>
      </c>
      <c r="B27" s="35">
        <v>34149.779174442192</v>
      </c>
      <c r="C27" s="35">
        <v>36485.323114717088</v>
      </c>
      <c r="D27" s="35">
        <v>30673.078231608379</v>
      </c>
      <c r="E27" s="35">
        <v>25676.267240304678</v>
      </c>
      <c r="F27" s="35">
        <v>19350.122726835179</v>
      </c>
      <c r="G27" s="35">
        <v>17074.357062633517</v>
      </c>
      <c r="H27" s="35">
        <v>18936.977363807568</v>
      </c>
      <c r="I27" s="35">
        <v>21980.177091762031</v>
      </c>
      <c r="J27" s="35">
        <v>19116.145392246184</v>
      </c>
      <c r="K27" s="35">
        <v>17771.523690932576</v>
      </c>
      <c r="L27" s="35">
        <v>16350.963148992123</v>
      </c>
      <c r="M27" s="35">
        <v>21724.118530873446</v>
      </c>
      <c r="N27" s="35">
        <v>20305.508718042474</v>
      </c>
      <c r="O27" s="35">
        <v>60066.542324293805</v>
      </c>
      <c r="P27" s="35">
        <v>67322.567019463706</v>
      </c>
      <c r="Q27" s="35">
        <v>69145.800908546735</v>
      </c>
      <c r="R27" s="35">
        <v>64447.045832997006</v>
      </c>
      <c r="S27" s="35">
        <v>60113.683435494568</v>
      </c>
      <c r="T27" s="35">
        <v>56139.346585719497</v>
      </c>
      <c r="U27" s="35">
        <v>53470.791509889932</v>
      </c>
      <c r="V27" s="35">
        <v>50035.435599143457</v>
      </c>
      <c r="W27" s="35">
        <v>46432.534350860638</v>
      </c>
      <c r="X27" s="35">
        <v>42844.84114433689</v>
      </c>
      <c r="Y27" s="35">
        <v>44081.252363580832</v>
      </c>
      <c r="Z27" s="35">
        <v>39440.294175620933</v>
      </c>
      <c r="AA27" s="35"/>
      <c r="AB27" s="35"/>
      <c r="AC27" s="35"/>
      <c r="AD27" s="35"/>
    </row>
    <row r="28" spans="1:30">
      <c r="A28" s="30" t="s">
        <v>77</v>
      </c>
      <c r="B28" s="35">
        <v>158269.02618242911</v>
      </c>
      <c r="C28" s="35">
        <v>154640.88966752819</v>
      </c>
      <c r="D28" s="35">
        <v>151510.16338061256</v>
      </c>
      <c r="E28" s="35">
        <v>164410.55231328885</v>
      </c>
      <c r="F28" s="35">
        <v>158215.19669668988</v>
      </c>
      <c r="G28" s="35">
        <v>175610.41358564823</v>
      </c>
      <c r="H28" s="35">
        <v>162092.25377135599</v>
      </c>
      <c r="I28" s="35">
        <v>159477.26371630898</v>
      </c>
      <c r="J28" s="35">
        <v>158864.12730617059</v>
      </c>
      <c r="K28" s="35">
        <v>155395.23343709495</v>
      </c>
      <c r="L28" s="35">
        <v>158406.32812953321</v>
      </c>
      <c r="M28" s="35">
        <v>162605.68636842002</v>
      </c>
      <c r="N28" s="35">
        <v>182588.02551692427</v>
      </c>
      <c r="O28" s="35">
        <v>183545.7453617593</v>
      </c>
      <c r="P28" s="35">
        <v>178390.37717665872</v>
      </c>
      <c r="Q28" s="35">
        <v>182165.35879400506</v>
      </c>
      <c r="R28" s="35">
        <v>194642.07212944858</v>
      </c>
      <c r="S28" s="35">
        <v>180606.065225853</v>
      </c>
      <c r="T28" s="35">
        <v>167645.4418157101</v>
      </c>
      <c r="U28" s="35">
        <v>178506.03837393183</v>
      </c>
      <c r="V28" s="35">
        <v>189554.76454634208</v>
      </c>
      <c r="W28" s="35">
        <v>170745.11289437886</v>
      </c>
      <c r="X28" s="35">
        <v>158760.28617684526</v>
      </c>
      <c r="Y28" s="35">
        <v>181686.13341760868</v>
      </c>
      <c r="Z28" s="35">
        <v>167804.49926824612</v>
      </c>
      <c r="AA28" s="35"/>
      <c r="AB28" s="35"/>
      <c r="AC28" s="35"/>
      <c r="AD28" s="35"/>
    </row>
    <row r="29" spans="1:30">
      <c r="A29" s="30" t="s">
        <v>80</v>
      </c>
      <c r="B29" s="49">
        <v>0.25573351418969542</v>
      </c>
      <c r="C29" s="49">
        <v>0.18563061191670505</v>
      </c>
      <c r="D29" s="49">
        <v>0.2391080415709394</v>
      </c>
      <c r="E29" s="49">
        <v>0.15301512976749043</v>
      </c>
      <c r="F29" s="49">
        <v>0.21515700761780182</v>
      </c>
      <c r="G29" s="49">
        <v>0.12361912892820733</v>
      </c>
      <c r="H29" s="49">
        <v>0.1723792578485886</v>
      </c>
      <c r="I29" s="49">
        <v>0.17941095538095794</v>
      </c>
      <c r="J29" s="49">
        <v>0.21938892267484228</v>
      </c>
      <c r="K29" s="49">
        <v>0.24926682286609458</v>
      </c>
      <c r="L29" s="49">
        <v>0.27115643904081677</v>
      </c>
      <c r="M29" s="49">
        <v>0.21149595191000101</v>
      </c>
      <c r="N29" s="49">
        <v>0.28850659760254771</v>
      </c>
      <c r="O29" s="49">
        <v>0.23461580695384418</v>
      </c>
      <c r="P29" s="49">
        <v>0.2430964730674553</v>
      </c>
      <c r="Q29" s="49">
        <v>0.16005147866891217</v>
      </c>
      <c r="R29" s="49">
        <v>0.19615774479426076</v>
      </c>
      <c r="S29" s="49">
        <v>0.17619200167398555</v>
      </c>
      <c r="T29" s="49">
        <v>0.18729875026895576</v>
      </c>
      <c r="U29" s="49">
        <v>0.16761832631900833</v>
      </c>
      <c r="V29" s="49">
        <v>0.19961159060603684</v>
      </c>
      <c r="W29" s="49">
        <v>0.17700548221314705</v>
      </c>
      <c r="X29" s="49">
        <v>0.20042946835220443</v>
      </c>
      <c r="Y29" s="49">
        <v>0.16723895718553891</v>
      </c>
      <c r="Z29" s="49">
        <v>0.19963130035886087</v>
      </c>
      <c r="AA29" s="49"/>
      <c r="AB29" s="49"/>
      <c r="AC29" s="49"/>
      <c r="AD29" s="49"/>
    </row>
    <row r="30" spans="1:30">
      <c r="A30" s="30" t="s">
        <v>111</v>
      </c>
      <c r="B30" s="50">
        <v>1.0028247836060102</v>
      </c>
      <c r="C30" s="50">
        <v>0.87146317552263508</v>
      </c>
      <c r="D30" s="50">
        <v>0.97232313131485948</v>
      </c>
      <c r="E30" s="50">
        <v>0.86138929671587083</v>
      </c>
      <c r="F30" s="50">
        <v>0.96718900026379151</v>
      </c>
      <c r="G30" s="50">
        <v>0.79473050647172216</v>
      </c>
      <c r="H30" s="50">
        <v>0.81499377117697835</v>
      </c>
      <c r="I30" s="50">
        <v>0.84568461363436198</v>
      </c>
      <c r="J30" s="50">
        <v>0.92440476296961438</v>
      </c>
      <c r="K30" s="50">
        <v>0.95552426286457037</v>
      </c>
      <c r="L30" s="50">
        <v>1.0342898914812806</v>
      </c>
      <c r="M30" s="50">
        <v>0.95406374187717802</v>
      </c>
      <c r="N30" s="50">
        <v>1.1503600584813194</v>
      </c>
      <c r="O30" s="50">
        <v>1.0857967466918665</v>
      </c>
      <c r="P30" s="50">
        <v>1.1130470386961124</v>
      </c>
      <c r="Q30" s="50">
        <v>0.95310798892825532</v>
      </c>
      <c r="R30" s="50">
        <v>1.0437038201943081</v>
      </c>
      <c r="S30" s="50">
        <v>0.99298341631308584</v>
      </c>
      <c r="T30" s="50">
        <v>1.002080473407265</v>
      </c>
      <c r="U30" s="50">
        <v>0.94630945604249905</v>
      </c>
      <c r="V30" s="50">
        <v>1.0272929977700944</v>
      </c>
      <c r="W30" s="50">
        <v>0.96105591427131676</v>
      </c>
      <c r="X30" s="50">
        <v>0.9874155761051957</v>
      </c>
      <c r="Y30" s="50">
        <v>0.95811449375325741</v>
      </c>
      <c r="Z30" s="50">
        <v>0.99160515898988999</v>
      </c>
      <c r="AA30" s="50"/>
      <c r="AB30" s="50"/>
      <c r="AC30" s="50"/>
      <c r="AD30" s="50"/>
    </row>
    <row r="31" spans="1:30">
      <c r="A31" s="3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>
      <c r="A32" s="33" t="s">
        <v>215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1:30">
      <c r="A33" s="30" t="s">
        <v>90</v>
      </c>
      <c r="B33" s="35">
        <v>7496.3372877400925</v>
      </c>
      <c r="C33" s="35">
        <v>39643.96722486653</v>
      </c>
      <c r="D33" s="35">
        <v>16395.105520933415</v>
      </c>
      <c r="E33" s="35">
        <v>35641.323567442603</v>
      </c>
      <c r="F33" s="35">
        <v>552.76890239766931</v>
      </c>
      <c r="G33" s="35">
        <v>23823.272281416717</v>
      </c>
      <c r="H33" s="35">
        <v>12528.068200911359</v>
      </c>
      <c r="I33" s="35">
        <v>32836.275797857714</v>
      </c>
      <c r="J33" s="35">
        <v>-399.69201421503658</v>
      </c>
      <c r="K33" s="35">
        <v>12992.257097252303</v>
      </c>
      <c r="L33" s="35">
        <v>22024.563730384667</v>
      </c>
      <c r="M33" s="35">
        <v>41410.981334916214</v>
      </c>
      <c r="N33" s="35">
        <v>7878.6512757410237</v>
      </c>
      <c r="O33" s="35">
        <v>33008.399544447166</v>
      </c>
      <c r="P33" s="35">
        <v>-2328.0250967337561</v>
      </c>
      <c r="Q33" s="35">
        <v>57150.006513246706</v>
      </c>
      <c r="R33" s="35">
        <v>-6532.3127682888899</v>
      </c>
      <c r="S33" s="35">
        <v>28010.639013982251</v>
      </c>
      <c r="T33" s="35">
        <v>6981.2493289276772</v>
      </c>
      <c r="U33" s="35">
        <v>45283.407086692852</v>
      </c>
      <c r="V33" s="35">
        <v>-4760.5807133541057</v>
      </c>
      <c r="W33" s="35">
        <v>20773.824464079051</v>
      </c>
      <c r="X33" s="35">
        <v>-7221.3229585621875</v>
      </c>
      <c r="Y33" s="35">
        <v>53424.578210384236</v>
      </c>
      <c r="Z33" s="35">
        <v>-25813.102544342222</v>
      </c>
      <c r="AA33" s="35"/>
      <c r="AB33" s="35"/>
      <c r="AC33" s="35"/>
      <c r="AD33" s="35"/>
    </row>
    <row r="34" spans="1:30">
      <c r="A34" s="30" t="s">
        <v>112</v>
      </c>
      <c r="B34" s="35">
        <v>-2432.1782180629302</v>
      </c>
      <c r="C34" s="35">
        <v>-2801.7275370387688</v>
      </c>
      <c r="D34" s="35">
        <v>9850.5040880865254</v>
      </c>
      <c r="E34" s="35">
        <v>-3303.1941042651379</v>
      </c>
      <c r="F34" s="35">
        <v>-13201</v>
      </c>
      <c r="G34" s="35">
        <v>-25810</v>
      </c>
      <c r="H34" s="35">
        <v>7180</v>
      </c>
      <c r="I34" s="35">
        <v>14889.835165666336</v>
      </c>
      <c r="J34" s="35">
        <v>-7926.2460227467727</v>
      </c>
      <c r="K34" s="35">
        <v>-2447.0001396319276</v>
      </c>
      <c r="L34" s="35">
        <v>13914.943287588709</v>
      </c>
      <c r="M34" s="35">
        <v>936.27183938688734</v>
      </c>
      <c r="N34" s="35">
        <v>7806.8527069185493</v>
      </c>
      <c r="O34" s="35">
        <v>2241.2416531200388</v>
      </c>
      <c r="P34" s="35">
        <v>-9826.0287822718456</v>
      </c>
      <c r="Q34" s="35">
        <v>7053.0299394244676</v>
      </c>
      <c r="R34" s="35">
        <v>-13139.1587152059</v>
      </c>
      <c r="S34" s="35">
        <v>-6584.386510025608</v>
      </c>
      <c r="T34" s="35">
        <v>311.95472252363533</v>
      </c>
      <c r="U34" s="35">
        <v>22834.82690978812</v>
      </c>
      <c r="V34" s="35">
        <v>-13517.266726731616</v>
      </c>
      <c r="W34" s="35">
        <v>-3289.5462987482179</v>
      </c>
      <c r="X34" s="35">
        <v>-14922.190427897069</v>
      </c>
      <c r="Y34" s="35">
        <v>37530.322477168971</v>
      </c>
      <c r="Z34" s="35">
        <v>-39925.952837782264</v>
      </c>
      <c r="AA34" s="35"/>
      <c r="AB34" s="35"/>
      <c r="AC34" s="35"/>
      <c r="AD34" s="35"/>
    </row>
    <row r="35" spans="1:30">
      <c r="A35" s="3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spans="1:30">
      <c r="A36" s="33" t="s">
        <v>216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>
      <c r="A37" s="30" t="s">
        <v>113</v>
      </c>
      <c r="B37" s="35">
        <v>82186624</v>
      </c>
      <c r="C37" s="35">
        <v>82186624</v>
      </c>
      <c r="D37" s="35">
        <v>82186624</v>
      </c>
      <c r="E37" s="35">
        <v>82186624</v>
      </c>
      <c r="F37" s="35">
        <v>82186624</v>
      </c>
      <c r="G37" s="35">
        <v>82186624</v>
      </c>
      <c r="H37" s="35">
        <v>82186624</v>
      </c>
      <c r="I37" s="35">
        <v>82186624</v>
      </c>
      <c r="J37" s="35">
        <v>82186624</v>
      </c>
      <c r="K37" s="35">
        <v>82186624</v>
      </c>
      <c r="L37" s="35">
        <v>82186624</v>
      </c>
      <c r="M37" s="35">
        <v>82186624</v>
      </c>
      <c r="N37" s="35">
        <v>82186624</v>
      </c>
      <c r="O37" s="35">
        <v>82186624</v>
      </c>
      <c r="P37" s="35">
        <v>82186624</v>
      </c>
      <c r="Q37" s="35">
        <v>82186624</v>
      </c>
      <c r="R37" s="35">
        <v>82186624</v>
      </c>
      <c r="S37" s="35">
        <v>82186624</v>
      </c>
      <c r="T37" s="35">
        <v>82186624</v>
      </c>
      <c r="U37" s="35">
        <v>82186624</v>
      </c>
      <c r="V37" s="35">
        <v>82186624</v>
      </c>
      <c r="W37" s="35">
        <v>82186624</v>
      </c>
      <c r="X37" s="35">
        <v>82186624</v>
      </c>
      <c r="Y37" s="35">
        <v>82186624</v>
      </c>
      <c r="Z37" s="35">
        <v>82186624</v>
      </c>
      <c r="AA37" s="35"/>
      <c r="AB37" s="35"/>
      <c r="AC37" s="35"/>
      <c r="AD37" s="35"/>
    </row>
    <row r="38" spans="1:30">
      <c r="A38" s="30" t="s">
        <v>114</v>
      </c>
      <c r="B38" s="35">
        <v>81384150</v>
      </c>
      <c r="C38" s="35">
        <v>80923298.5</v>
      </c>
      <c r="D38" s="35">
        <v>80706259</v>
      </c>
      <c r="E38" s="35">
        <v>80917488</v>
      </c>
      <c r="F38" s="35">
        <v>80917488</v>
      </c>
      <c r="G38" s="35">
        <v>80733553</v>
      </c>
      <c r="H38" s="35">
        <v>80549618</v>
      </c>
      <c r="I38" s="35">
        <v>80549618</v>
      </c>
      <c r="J38" s="35">
        <v>80522118</v>
      </c>
      <c r="K38" s="35">
        <v>80834820</v>
      </c>
      <c r="L38" s="35">
        <v>81175022</v>
      </c>
      <c r="M38" s="35">
        <v>80875022</v>
      </c>
      <c r="N38" s="35">
        <v>80895126.5</v>
      </c>
      <c r="O38" s="35">
        <v>81226898</v>
      </c>
      <c r="P38" s="35">
        <v>81238565</v>
      </c>
      <c r="Q38" s="35">
        <v>80885454</v>
      </c>
      <c r="R38" s="35">
        <v>80532343</v>
      </c>
      <c r="S38" s="35">
        <v>80787751</v>
      </c>
      <c r="T38" s="35">
        <v>81043159</v>
      </c>
      <c r="U38" s="35">
        <v>81273947</v>
      </c>
      <c r="V38" s="35">
        <v>81609381.5</v>
      </c>
      <c r="W38" s="35">
        <v>81714028</v>
      </c>
      <c r="X38" s="35">
        <v>81714028</v>
      </c>
      <c r="Y38" s="35">
        <v>81714028</v>
      </c>
      <c r="Z38" s="35">
        <v>81433318</v>
      </c>
      <c r="AA38" s="35"/>
      <c r="AB38" s="35"/>
      <c r="AC38" s="35"/>
      <c r="AD38" s="35"/>
    </row>
    <row r="39" spans="1:30">
      <c r="A39" s="30" t="s">
        <v>115</v>
      </c>
      <c r="B39" s="35">
        <v>82138181.283469722</v>
      </c>
      <c r="C39" s="35">
        <v>81426076.274527982</v>
      </c>
      <c r="D39" s="35">
        <v>81127637.521569088</v>
      </c>
      <c r="E39" s="35">
        <v>81502285.018401325</v>
      </c>
      <c r="F39" s="35">
        <v>81534549.563730478</v>
      </c>
      <c r="G39" s="35">
        <v>81131019.826330706</v>
      </c>
      <c r="H39" s="35">
        <v>80850544.194971785</v>
      </c>
      <c r="I39" s="35">
        <v>80948589.194032982</v>
      </c>
      <c r="J39" s="35">
        <v>80793829.482402757</v>
      </c>
      <c r="K39" s="35">
        <v>80955438.399845734</v>
      </c>
      <c r="L39" s="35">
        <v>81270120.430896178</v>
      </c>
      <c r="M39" s="35">
        <v>80979585.907886624</v>
      </c>
      <c r="N39" s="35">
        <v>81025623.080029309</v>
      </c>
      <c r="O39" s="35">
        <v>81522674.673358902</v>
      </c>
      <c r="P39" s="35">
        <v>81637270.33061327</v>
      </c>
      <c r="Q39" s="35">
        <v>81072419.144158751</v>
      </c>
      <c r="R39" s="35">
        <v>80557707.66269289</v>
      </c>
      <c r="S39" s="35">
        <v>80806152.87024568</v>
      </c>
      <c r="T39" s="35">
        <v>81043159</v>
      </c>
      <c r="U39" s="35">
        <v>81273947</v>
      </c>
      <c r="V39" s="35">
        <v>81635072.699862987</v>
      </c>
      <c r="W39" s="35">
        <v>81781017.748835117</v>
      </c>
      <c r="X39" s="35">
        <v>81767039.30349727</v>
      </c>
      <c r="Y39" s="35">
        <v>81725740.754525155</v>
      </c>
      <c r="Z39" s="35">
        <v>81445820.794389218</v>
      </c>
      <c r="AA39" s="35"/>
      <c r="AB39" s="35"/>
      <c r="AC39" s="35"/>
      <c r="AD39" s="35"/>
    </row>
    <row r="40" spans="1:30">
      <c r="A40" s="30" t="s">
        <v>191</v>
      </c>
      <c r="B40" s="51">
        <v>0.19937034863946426</v>
      </c>
      <c r="C40" s="51">
        <v>0.11303448938096847</v>
      </c>
      <c r="D40" s="51">
        <v>6.4512314894723297E-2</v>
      </c>
      <c r="E40" s="51">
        <v>8.9873007221604864E-2</v>
      </c>
      <c r="F40" s="51">
        <v>0.21206494875629844</v>
      </c>
      <c r="G40" s="51">
        <v>0.21468169631109707</v>
      </c>
      <c r="H40" s="51">
        <v>0.13707605839655887</v>
      </c>
      <c r="I40" s="51">
        <v>0.16139200593427441</v>
      </c>
      <c r="J40" s="51">
        <v>0.24830167847881593</v>
      </c>
      <c r="K40" s="51">
        <v>0.20469652351215009</v>
      </c>
      <c r="L40" s="51">
        <v>9.9154388400263777E-2</v>
      </c>
      <c r="M40" s="51">
        <v>0.20821678512127831</v>
      </c>
      <c r="N40" s="51">
        <v>0.30258010292996246</v>
      </c>
      <c r="O40" s="51">
        <v>0.18200011316654938</v>
      </c>
      <c r="P40" s="51">
        <v>7.1927899651696381E-2</v>
      </c>
      <c r="Q40" s="51">
        <v>0.143244735265459</v>
      </c>
      <c r="R40" s="51">
        <v>0.17307134746385677</v>
      </c>
      <c r="S40" s="51">
        <v>0.20017090405828075</v>
      </c>
      <c r="T40" s="51">
        <v>-1.082182864830819E-2</v>
      </c>
      <c r="U40" s="51">
        <v>7.0772262158818794E-2</v>
      </c>
      <c r="V40" s="51">
        <v>0.1781424713445631</v>
      </c>
      <c r="W40" s="51">
        <v>2.0684300351594114E-2</v>
      </c>
      <c r="X40" s="51">
        <v>4.3896393504721652E-2</v>
      </c>
      <c r="Y40" s="51">
        <v>3.8645207557830685E-2</v>
      </c>
      <c r="Z40" s="51">
        <v>0.15582900176567416</v>
      </c>
      <c r="AA40" s="51"/>
      <c r="AB40" s="51"/>
      <c r="AC40" s="51"/>
      <c r="AD40" s="51"/>
    </row>
    <row r="41" spans="1:30">
      <c r="A41" s="30" t="s">
        <v>192</v>
      </c>
      <c r="B41" s="51">
        <v>0.1975401220929133</v>
      </c>
      <c r="C41" s="51">
        <v>0.1123365406203741</v>
      </c>
      <c r="D41" s="51">
        <v>6.4177236680888816E-2</v>
      </c>
      <c r="E41" s="51">
        <v>8.9228148410025659E-2</v>
      </c>
      <c r="F41" s="51">
        <v>0.2104600201758112</v>
      </c>
      <c r="G41" s="51">
        <v>0.21362995490951331</v>
      </c>
      <c r="H41" s="51">
        <v>0.13656586051124184</v>
      </c>
      <c r="I41" s="51">
        <v>0.16059655338894799</v>
      </c>
      <c r="J41" s="51">
        <v>0.24746663429815524</v>
      </c>
      <c r="K41" s="51">
        <v>0.20439153884888295</v>
      </c>
      <c r="L41" s="51">
        <v>9.9038362649307085E-2</v>
      </c>
      <c r="M41" s="51">
        <v>0.20794792772350604</v>
      </c>
      <c r="N41" s="51">
        <v>0.30209277969668996</v>
      </c>
      <c r="O41" s="51">
        <v>0.18133978905133807</v>
      </c>
      <c r="P41" s="51">
        <v>7.1576613567597688E-2</v>
      </c>
      <c r="Q41" s="51">
        <v>0.14291439144617238</v>
      </c>
      <c r="R41" s="51">
        <v>0.1730168536546659</v>
      </c>
      <c r="S41" s="51">
        <v>0.20012531942304443</v>
      </c>
      <c r="T41" s="51">
        <v>-1.082182864830819E-2</v>
      </c>
      <c r="U41" s="51">
        <v>7.0772262158818794E-2</v>
      </c>
      <c r="V41" s="51">
        <v>0.17808640850681412</v>
      </c>
      <c r="W41" s="51">
        <v>2.0667357103349895E-2</v>
      </c>
      <c r="X41" s="51">
        <v>4.3867934543038119E-2</v>
      </c>
      <c r="Y41" s="51">
        <v>3.8639669011155925E-2</v>
      </c>
      <c r="Z41" s="51">
        <v>0.15580508036676197</v>
      </c>
      <c r="AA41" s="51"/>
      <c r="AB41" s="51"/>
      <c r="AC41" s="51"/>
      <c r="AD41" s="51"/>
    </row>
    <row r="42" spans="1:30">
      <c r="A42" s="30" t="s">
        <v>193</v>
      </c>
      <c r="B42" s="51">
        <v>0.32527703030929112</v>
      </c>
      <c r="C42" s="51">
        <v>0.29029442509776465</v>
      </c>
      <c r="D42" s="51">
        <v>0.23652028706569653</v>
      </c>
      <c r="E42" s="51">
        <v>0.26267926532385899</v>
      </c>
      <c r="F42" s="51">
        <v>0.34757690637871791</v>
      </c>
      <c r="G42" s="51">
        <v>0.35375505310492011</v>
      </c>
      <c r="H42" s="51">
        <v>0.25533671794492419</v>
      </c>
      <c r="I42" s="51">
        <v>0.30259086007766106</v>
      </c>
      <c r="J42" s="51">
        <v>0.41375460638452555</v>
      </c>
      <c r="K42" s="51">
        <v>0.3564442981402835</v>
      </c>
      <c r="L42" s="51">
        <v>0.22988951757083079</v>
      </c>
      <c r="M42" s="51">
        <v>0.34844294982057716</v>
      </c>
      <c r="N42" s="51">
        <v>0.50448542259838658</v>
      </c>
      <c r="O42" s="51">
        <v>0.32467273994382312</v>
      </c>
      <c r="P42" s="51">
        <v>0.20842974380058824</v>
      </c>
      <c r="Q42" s="51">
        <v>0.36516187410395662</v>
      </c>
      <c r="R42" s="51">
        <v>0.34401892381495236</v>
      </c>
      <c r="S42" s="51">
        <v>0.36425868427551222</v>
      </c>
      <c r="T42" s="51">
        <v>0.1022553852434774</v>
      </c>
      <c r="U42" s="51">
        <v>0.24595235301877599</v>
      </c>
      <c r="V42" s="51">
        <v>0.35638928033335621</v>
      </c>
      <c r="W42" s="51">
        <v>0.15155050018710678</v>
      </c>
      <c r="X42" s="51">
        <v>0.19001193884660075</v>
      </c>
      <c r="Y42" s="51">
        <v>0.14568713591641461</v>
      </c>
      <c r="Z42" s="51">
        <v>0.30225680512846009</v>
      </c>
      <c r="AA42" s="51"/>
      <c r="AB42" s="51"/>
      <c r="AC42" s="51"/>
      <c r="AD42" s="51"/>
    </row>
    <row r="43" spans="1:30">
      <c r="A43" s="30" t="s">
        <v>116</v>
      </c>
      <c r="B43" s="51">
        <v>0.81239388179867389</v>
      </c>
      <c r="C43" s="51">
        <v>0.53836165636793221</v>
      </c>
      <c r="D43" s="51">
        <v>0.70936918980291019</v>
      </c>
      <c r="E43" s="51">
        <v>0.4243952802884835</v>
      </c>
      <c r="F43" s="51">
        <v>0.60157356063325451</v>
      </c>
      <c r="G43" s="51">
        <v>0.33665578349866659</v>
      </c>
      <c r="H43" s="51">
        <v>0.46810051429215344</v>
      </c>
      <c r="I43" s="51">
        <v>0.49252942107393721</v>
      </c>
      <c r="J43" s="51">
        <v>0.62120751470827673</v>
      </c>
      <c r="K43" s="51">
        <v>0.71128706172949885</v>
      </c>
      <c r="L43" s="51">
        <v>0.80093925633886998</v>
      </c>
      <c r="M43" s="51">
        <v>0.61133260528933064</v>
      </c>
      <c r="N43" s="51">
        <v>1.0170228389515983</v>
      </c>
      <c r="O43" s="51">
        <v>0.91934192698812478</v>
      </c>
      <c r="P43" s="51">
        <v>0.97141305032724334</v>
      </c>
      <c r="Q43" s="51">
        <v>0.59203636990153008</v>
      </c>
      <c r="R43" s="51">
        <v>0.78507975255364448</v>
      </c>
      <c r="S43" s="51">
        <v>0.6372741409547521</v>
      </c>
      <c r="T43" s="51">
        <v>0.63638201387914894</v>
      </c>
      <c r="U43" s="51">
        <v>0.57476752525367558</v>
      </c>
      <c r="V43" s="51">
        <v>0.73217342846938938</v>
      </c>
      <c r="W43" s="51">
        <v>0.57162078399692329</v>
      </c>
      <c r="X43" s="51">
        <v>0.61845742301817119</v>
      </c>
      <c r="Y43" s="51">
        <v>0.5548577793989391</v>
      </c>
      <c r="Z43" s="51">
        <v>0.63477540862037007</v>
      </c>
      <c r="AA43" s="51"/>
      <c r="AB43" s="51"/>
      <c r="AC43" s="51"/>
      <c r="AD43" s="51"/>
    </row>
    <row r="44" spans="1:30">
      <c r="A44" s="30" t="s">
        <v>117</v>
      </c>
      <c r="B44" s="51">
        <v>0</v>
      </c>
      <c r="C44" s="51">
        <v>0.2</v>
      </c>
      <c r="D44" s="51">
        <v>0</v>
      </c>
      <c r="E44" s="51">
        <v>0.4</v>
      </c>
      <c r="F44" s="51">
        <v>0</v>
      </c>
      <c r="G44" s="51">
        <v>0.25</v>
      </c>
      <c r="H44" s="51">
        <v>0</v>
      </c>
      <c r="I44" s="51">
        <v>0.1</v>
      </c>
      <c r="J44" s="51">
        <v>0</v>
      </c>
      <c r="K44" s="51">
        <v>0.2</v>
      </c>
      <c r="L44" s="51">
        <v>0</v>
      </c>
      <c r="M44" s="51">
        <v>0.3</v>
      </c>
      <c r="N44" s="51">
        <v>0</v>
      </c>
      <c r="O44" s="51">
        <v>0.3</v>
      </c>
      <c r="P44" s="51">
        <v>0</v>
      </c>
      <c r="Q44" s="51">
        <v>0.4</v>
      </c>
      <c r="R44" s="51">
        <v>0</v>
      </c>
      <c r="S44" s="51">
        <v>0.4</v>
      </c>
      <c r="T44" s="51">
        <v>0</v>
      </c>
      <c r="U44" s="51">
        <v>0.2</v>
      </c>
      <c r="V44" s="51">
        <v>0</v>
      </c>
      <c r="W44" s="51">
        <v>0.2</v>
      </c>
      <c r="X44" s="51">
        <v>0</v>
      </c>
      <c r="Y44" s="51">
        <v>0.1</v>
      </c>
      <c r="Z44" s="51">
        <v>0</v>
      </c>
      <c r="AA44" s="51"/>
      <c r="AB44" s="51"/>
      <c r="AC44" s="51"/>
      <c r="AD44" s="51"/>
    </row>
    <row r="45" spans="1:30">
      <c r="A45" s="3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spans="1:30">
      <c r="A46" s="33" t="s">
        <v>217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>
      <c r="A47" s="30" t="s">
        <v>194</v>
      </c>
      <c r="B47" s="35">
        <v>461.25</v>
      </c>
      <c r="C47" s="35">
        <v>463</v>
      </c>
      <c r="D47" s="35">
        <v>486.5</v>
      </c>
      <c r="E47" s="35">
        <v>504.20000000000005</v>
      </c>
      <c r="F47" s="35">
        <v>524.4</v>
      </c>
      <c r="G47" s="35">
        <v>538.70000000000005</v>
      </c>
      <c r="H47" s="35">
        <v>589</v>
      </c>
      <c r="I47" s="35">
        <v>617</v>
      </c>
      <c r="J47" s="35">
        <v>642</v>
      </c>
      <c r="K47" s="35">
        <v>661</v>
      </c>
      <c r="L47" s="35">
        <v>701</v>
      </c>
      <c r="M47" s="35">
        <v>698</v>
      </c>
      <c r="N47" s="35">
        <v>731</v>
      </c>
      <c r="O47" s="35">
        <v>741</v>
      </c>
      <c r="P47" s="35">
        <v>762</v>
      </c>
      <c r="Q47" s="35">
        <v>758</v>
      </c>
      <c r="R47" s="35">
        <v>736</v>
      </c>
      <c r="S47" s="35">
        <v>713</v>
      </c>
      <c r="T47" s="35">
        <v>699</v>
      </c>
      <c r="U47" s="35">
        <v>725</v>
      </c>
      <c r="V47" s="35">
        <v>707</v>
      </c>
      <c r="W47" s="35">
        <v>702</v>
      </c>
      <c r="X47" s="35">
        <v>705</v>
      </c>
      <c r="Y47" s="35">
        <v>695</v>
      </c>
      <c r="Z47" s="35">
        <v>686</v>
      </c>
      <c r="AA47" s="35"/>
      <c r="AB47" s="35"/>
      <c r="AC47" s="35"/>
      <c r="AD47" s="35"/>
    </row>
    <row r="48" spans="1:30">
      <c r="A48" s="30" t="s">
        <v>20</v>
      </c>
      <c r="B48" s="35">
        <v>456.1</v>
      </c>
      <c r="C48" s="35">
        <v>461.66666666666663</v>
      </c>
      <c r="D48" s="35">
        <v>475</v>
      </c>
      <c r="E48" s="35">
        <v>496.85</v>
      </c>
      <c r="F48" s="35">
        <v>524.93333333333339</v>
      </c>
      <c r="G48" s="35">
        <v>531.55000000000007</v>
      </c>
      <c r="H48" s="35">
        <v>563.84999999999991</v>
      </c>
      <c r="I48" s="35">
        <v>603</v>
      </c>
      <c r="J48" s="35">
        <v>629.5</v>
      </c>
      <c r="K48" s="35">
        <v>667</v>
      </c>
      <c r="L48" s="35">
        <v>681</v>
      </c>
      <c r="M48" s="35">
        <v>699.5</v>
      </c>
      <c r="N48" s="35">
        <v>714.5</v>
      </c>
      <c r="O48" s="35">
        <v>736</v>
      </c>
      <c r="P48" s="35">
        <v>751.5</v>
      </c>
      <c r="Q48" s="35">
        <v>760</v>
      </c>
      <c r="R48" s="35">
        <v>747</v>
      </c>
      <c r="S48" s="35">
        <v>724.5</v>
      </c>
      <c r="T48" s="35">
        <v>706</v>
      </c>
      <c r="U48" s="35">
        <v>712</v>
      </c>
      <c r="V48" s="35">
        <v>716</v>
      </c>
      <c r="W48" s="35">
        <v>704.5</v>
      </c>
      <c r="X48" s="35">
        <v>703.5</v>
      </c>
      <c r="Y48" s="35">
        <v>700</v>
      </c>
      <c r="Z48" s="35">
        <v>690.5</v>
      </c>
      <c r="AA48" s="35"/>
      <c r="AB48" s="35"/>
      <c r="AC48" s="35"/>
      <c r="AD48" s="35"/>
    </row>
    <row r="49" spans="1:30">
      <c r="A49" s="30" t="s">
        <v>21</v>
      </c>
      <c r="B49" s="35">
        <v>286.6425967759838</v>
      </c>
      <c r="C49" s="35">
        <v>263.3541790514239</v>
      </c>
      <c r="D49" s="35">
        <v>230.87816484939069</v>
      </c>
      <c r="E49" s="35">
        <v>273.01495527466017</v>
      </c>
      <c r="F49" s="35">
        <v>275.17729552644965</v>
      </c>
      <c r="G49" s="35">
        <v>283.74599046004317</v>
      </c>
      <c r="H49" s="35">
        <v>246.41828740099146</v>
      </c>
      <c r="I49" s="35">
        <v>263.24776784296182</v>
      </c>
      <c r="J49" s="35">
        <v>279.61221820811653</v>
      </c>
      <c r="K49" s="35">
        <v>275.12317947027964</v>
      </c>
      <c r="L49" s="35">
        <v>250.89957977742884</v>
      </c>
      <c r="M49" s="35">
        <v>293.71565493673825</v>
      </c>
      <c r="N49" s="35">
        <v>322.33354311235405</v>
      </c>
      <c r="O49" s="35">
        <v>306.02733178391179</v>
      </c>
      <c r="P49" s="35">
        <v>258.06812944010613</v>
      </c>
      <c r="Q49" s="35">
        <v>292.23595016177609</v>
      </c>
      <c r="R49" s="35">
        <v>305.8789165649103</v>
      </c>
      <c r="S49" s="35">
        <v>309.35366123546248</v>
      </c>
      <c r="T49" s="35">
        <v>260.97033370629885</v>
      </c>
      <c r="U49" s="35">
        <v>297.63930178062702</v>
      </c>
      <c r="V49" s="35">
        <v>323.50668385227181</v>
      </c>
      <c r="W49" s="35">
        <v>288.07247512113588</v>
      </c>
      <c r="X49" s="35">
        <v>278.98755456778525</v>
      </c>
      <c r="Y49" s="35">
        <v>304.91247231782722</v>
      </c>
      <c r="Z49" s="35">
        <v>322.76271418563044</v>
      </c>
      <c r="AA49" s="35"/>
      <c r="AB49" s="35"/>
      <c r="AC49" s="35"/>
      <c r="AD49" s="35"/>
    </row>
    <row r="50" spans="1:30">
      <c r="A50" s="30" t="s">
        <v>22</v>
      </c>
      <c r="B50" s="35">
        <v>266.86198767639996</v>
      </c>
      <c r="C50" s="35">
        <v>245.22448087143684</v>
      </c>
      <c r="D50" s="35">
        <v>214.15856745427118</v>
      </c>
      <c r="E50" s="35">
        <v>252.2724953757359</v>
      </c>
      <c r="F50" s="35">
        <v>252.27650706621733</v>
      </c>
      <c r="G50" s="35">
        <v>260.63532692867267</v>
      </c>
      <c r="H50" s="35">
        <v>228.74910051728125</v>
      </c>
      <c r="I50" s="35">
        <v>244.29215759622218</v>
      </c>
      <c r="J50" s="35">
        <v>257.41797974887169</v>
      </c>
      <c r="K50" s="35">
        <v>254.28377562285033</v>
      </c>
      <c r="L50" s="35">
        <v>235.78393204498246</v>
      </c>
      <c r="M50" s="35">
        <v>274.38439612411929</v>
      </c>
      <c r="N50" s="35">
        <v>303.86690477318166</v>
      </c>
      <c r="O50" s="35">
        <v>283.69190580516931</v>
      </c>
      <c r="P50" s="35">
        <v>241.65754837227533</v>
      </c>
      <c r="Q50" s="35">
        <v>271.26666443944328</v>
      </c>
      <c r="R50" s="35">
        <v>283.95401599370103</v>
      </c>
      <c r="S50" s="35">
        <v>283.28387215992558</v>
      </c>
      <c r="T50" s="35">
        <v>239.89024803399693</v>
      </c>
      <c r="U50" s="35">
        <v>275.74798668850934</v>
      </c>
      <c r="V50" s="35">
        <v>298.93921703553707</v>
      </c>
      <c r="W50" s="35">
        <v>266.7192891132953</v>
      </c>
      <c r="X50" s="35">
        <v>258.01518698656884</v>
      </c>
      <c r="Y50" s="35">
        <v>283.40963697660891</v>
      </c>
      <c r="Z50" s="35">
        <v>303.45168791716623</v>
      </c>
      <c r="AA50" s="35"/>
      <c r="AB50" s="35"/>
      <c r="AC50" s="35"/>
      <c r="AD50" s="35"/>
    </row>
    <row r="51" spans="1:30">
      <c r="A51" s="30" t="s">
        <v>23</v>
      </c>
      <c r="B51" s="35">
        <v>184.76860709241078</v>
      </c>
      <c r="C51" s="35">
        <v>176.45032783060549</v>
      </c>
      <c r="D51" s="35">
        <v>154.08908566273186</v>
      </c>
      <c r="E51" s="35">
        <v>186.71111861943518</v>
      </c>
      <c r="F51" s="35">
        <v>182.52732006832292</v>
      </c>
      <c r="G51" s="35">
        <v>189.59473285837265</v>
      </c>
      <c r="H51" s="35">
        <v>172.03320441218412</v>
      </c>
      <c r="I51" s="35">
        <v>182.57527840290714</v>
      </c>
      <c r="J51" s="35">
        <v>185.82389816229934</v>
      </c>
      <c r="K51" s="35">
        <v>191.88368899560126</v>
      </c>
      <c r="L51" s="35">
        <v>183.02670870519216</v>
      </c>
      <c r="M51" s="35">
        <v>208.02645851372765</v>
      </c>
      <c r="N51" s="35">
        <v>221.0687527081092</v>
      </c>
      <c r="O51" s="35">
        <v>224.30568111688714</v>
      </c>
      <c r="P51" s="35">
        <v>197.96975861797037</v>
      </c>
      <c r="Q51" s="35">
        <v>213.87177604692781</v>
      </c>
      <c r="R51" s="35">
        <v>226.63535344472945</v>
      </c>
      <c r="S51" s="35">
        <v>222.66477057485989</v>
      </c>
      <c r="T51" s="35">
        <v>206.97553566963174</v>
      </c>
      <c r="U51" s="35">
        <v>221.30169197305216</v>
      </c>
      <c r="V51" s="35">
        <v>233.50284855502858</v>
      </c>
      <c r="W51" s="35">
        <v>224.50524972067157</v>
      </c>
      <c r="X51" s="35">
        <v>215.91154564002744</v>
      </c>
      <c r="Y51" s="35">
        <v>238.0916681829647</v>
      </c>
      <c r="Z51" s="35">
        <v>235.6746059016015</v>
      </c>
      <c r="AA51" s="35"/>
      <c r="AB51" s="35"/>
      <c r="AC51" s="35"/>
      <c r="AD51" s="35"/>
    </row>
    <row r="52" spans="1:30">
      <c r="A52" s="30" t="s">
        <v>24</v>
      </c>
      <c r="B52" s="35">
        <v>24.052611835368477</v>
      </c>
      <c r="C52" s="35">
        <v>17.889859000963568</v>
      </c>
      <c r="D52" s="35">
        <v>19.882813272216271</v>
      </c>
      <c r="E52" s="35">
        <v>22.781168847088313</v>
      </c>
      <c r="F52" s="35">
        <v>16.170859303627751</v>
      </c>
      <c r="G52" s="35">
        <v>17.311119272324511</v>
      </c>
      <c r="H52" s="35">
        <v>20.239395099798948</v>
      </c>
      <c r="I52" s="35">
        <v>21.296351515790921</v>
      </c>
      <c r="J52" s="35">
        <v>18.668907260379587</v>
      </c>
      <c r="K52" s="35">
        <v>19.20201964044827</v>
      </c>
      <c r="L52" s="35">
        <v>25.354452933943627</v>
      </c>
      <c r="M52" s="35">
        <v>26.071545569671013</v>
      </c>
      <c r="N52" s="35">
        <v>25.680710387672274</v>
      </c>
      <c r="O52" s="35">
        <v>23.55448619535084</v>
      </c>
      <c r="P52" s="35">
        <v>21.156141996916482</v>
      </c>
      <c r="Q52" s="35">
        <v>22.477856852529484</v>
      </c>
      <c r="R52" s="35">
        <v>20.230777714759242</v>
      </c>
      <c r="S52" s="35">
        <v>20.001241150507116</v>
      </c>
      <c r="T52" s="35">
        <v>21.176611167632331</v>
      </c>
      <c r="U52" s="35">
        <v>26.371128277573369</v>
      </c>
      <c r="V52" s="35">
        <v>24.815266886604444</v>
      </c>
      <c r="W52" s="35">
        <v>24.635896290135083</v>
      </c>
      <c r="X52" s="35">
        <v>23.231372844415766</v>
      </c>
      <c r="Y52" s="35">
        <v>28.311279217196041</v>
      </c>
      <c r="Z52" s="35">
        <v>32.130775672784246</v>
      </c>
      <c r="AA52" s="35"/>
      <c r="AB52" s="35"/>
      <c r="AC52" s="35"/>
      <c r="AD52" s="35"/>
    </row>
    <row r="53" spans="1:30">
      <c r="A53" s="30" t="s">
        <v>25</v>
      </c>
      <c r="B53" s="35">
        <v>58.040768748620678</v>
      </c>
      <c r="C53" s="35">
        <v>50.884294039867797</v>
      </c>
      <c r="D53" s="35">
        <v>40.186668519323064</v>
      </c>
      <c r="E53" s="35">
        <v>42.780207909212393</v>
      </c>
      <c r="F53" s="35">
        <v>53.578327694266626</v>
      </c>
      <c r="G53" s="35">
        <v>53.729474797975499</v>
      </c>
      <c r="H53" s="35">
        <v>36.476501005298196</v>
      </c>
      <c r="I53" s="35">
        <v>40.42052767752412</v>
      </c>
      <c r="J53" s="35">
        <v>52.925174326192732</v>
      </c>
      <c r="K53" s="35">
        <v>43.198066986800825</v>
      </c>
      <c r="L53" s="35">
        <v>27.402770405846663</v>
      </c>
      <c r="M53" s="35">
        <v>40.286392040720628</v>
      </c>
      <c r="N53" s="35">
        <v>57.117441677400201</v>
      </c>
      <c r="O53" s="35">
        <v>35.831738492931315</v>
      </c>
      <c r="P53" s="35">
        <v>22.53164775738847</v>
      </c>
      <c r="Q53" s="35">
        <v>38.86353153998602</v>
      </c>
      <c r="R53" s="35">
        <v>37.087884834212332</v>
      </c>
      <c r="S53" s="35">
        <v>40.617860434558594</v>
      </c>
      <c r="T53" s="35">
        <v>11.738101196732851</v>
      </c>
      <c r="U53" s="35">
        <v>28.075166437883837</v>
      </c>
      <c r="V53" s="35">
        <v>40.621101593904072</v>
      </c>
      <c r="W53" s="35">
        <v>17.578143102488642</v>
      </c>
      <c r="X53" s="35">
        <v>22.07056274519605</v>
      </c>
      <c r="Y53" s="35">
        <v>17.006689576448156</v>
      </c>
      <c r="Z53" s="35">
        <v>35.646306342780484</v>
      </c>
      <c r="AA53" s="35"/>
      <c r="AB53" s="35"/>
      <c r="AC53" s="35"/>
      <c r="AD53" s="35"/>
    </row>
    <row r="54" spans="1:30">
      <c r="A54" s="30" t="s">
        <v>26</v>
      </c>
      <c r="B54" s="35">
        <v>40.980879514840694</v>
      </c>
      <c r="C54" s="35">
        <v>33.686992709284155</v>
      </c>
      <c r="D54" s="35">
        <v>23.836119147145869</v>
      </c>
      <c r="E54" s="35">
        <v>27.395713883213972</v>
      </c>
      <c r="F54" s="35">
        <v>42.148089340792332</v>
      </c>
      <c r="G54" s="35">
        <v>42.233333678437347</v>
      </c>
      <c r="H54" s="35">
        <v>25.449144711940104</v>
      </c>
      <c r="I54" s="35">
        <v>30.050585720641866</v>
      </c>
      <c r="J54" s="35">
        <v>41.534221102973042</v>
      </c>
      <c r="K54" s="35">
        <v>32.227030951541522</v>
      </c>
      <c r="L54" s="35">
        <v>14.911214266328416</v>
      </c>
      <c r="M54" s="35">
        <v>27.766248028905583</v>
      </c>
      <c r="N54" s="35">
        <v>46.496071835939858</v>
      </c>
      <c r="O54" s="35">
        <v>24.962157281149935</v>
      </c>
      <c r="P54" s="35">
        <v>11.578585424752903</v>
      </c>
      <c r="Q54" s="35">
        <v>23.760539495420343</v>
      </c>
      <c r="R54" s="35">
        <v>25.752475502678429</v>
      </c>
      <c r="S54" s="35">
        <v>29.13557263035116</v>
      </c>
      <c r="T54" s="35">
        <v>0.20819944434317103</v>
      </c>
      <c r="U54" s="35">
        <v>10.555572835983959</v>
      </c>
      <c r="V54" s="35">
        <v>29.387644818939098</v>
      </c>
      <c r="W54" s="35">
        <v>6.181000053295441</v>
      </c>
      <c r="X54" s="35">
        <v>10.739398005750763</v>
      </c>
      <c r="Y54" s="35">
        <v>5.4965854635779401</v>
      </c>
      <c r="Z54" s="35">
        <v>24.130912853713451</v>
      </c>
      <c r="AA54" s="35"/>
      <c r="AB54" s="35"/>
      <c r="AC54" s="35"/>
      <c r="AD54" s="35"/>
    </row>
    <row r="55" spans="1:30">
      <c r="A55" s="30"/>
    </row>
    <row r="56" spans="1:30">
      <c r="A56" s="38" t="s">
        <v>118</v>
      </c>
      <c r="B56" s="58">
        <v>0.48766603415559773</v>
      </c>
      <c r="C56" s="58">
        <v>0.48301886792452831</v>
      </c>
      <c r="D56" s="58">
        <v>0.45863309352517984</v>
      </c>
      <c r="E56" s="58">
        <v>0.47037102162827499</v>
      </c>
      <c r="F56" s="58">
        <v>0.50149832540102246</v>
      </c>
      <c r="G56" s="58">
        <v>0.51200138145398033</v>
      </c>
      <c r="H56" s="58">
        <v>0.50482315112540188</v>
      </c>
      <c r="I56" s="58">
        <v>0.52469135802469136</v>
      </c>
      <c r="J56" s="58">
        <v>0.53491827637444278</v>
      </c>
      <c r="K56" s="58">
        <v>0.54462934947049924</v>
      </c>
      <c r="L56" s="58">
        <v>0.52496433666191156</v>
      </c>
      <c r="M56" s="58">
        <v>0.52435530085959881</v>
      </c>
      <c r="N56" s="58">
        <v>0.53488372093023251</v>
      </c>
      <c r="O56" s="58">
        <v>0.52766531713900133</v>
      </c>
      <c r="P56" s="58">
        <v>0.51312335958005251</v>
      </c>
      <c r="Q56" s="58">
        <v>0.51055408970976257</v>
      </c>
      <c r="R56" s="58">
        <v>0.51358695652173914</v>
      </c>
      <c r="S56" s="58">
        <v>0.51332398316970551</v>
      </c>
      <c r="T56" s="58">
        <v>0.51359084406294708</v>
      </c>
      <c r="U56" s="58">
        <v>0.49655172413793103</v>
      </c>
      <c r="V56" s="58">
        <v>0.49363507779349364</v>
      </c>
      <c r="W56" s="58">
        <v>0.49002849002849003</v>
      </c>
      <c r="X56" s="58">
        <v>0.49361702127659574</v>
      </c>
      <c r="Y56" s="58">
        <v>0.49208633093525178</v>
      </c>
      <c r="Z56" s="58">
        <v>0.5</v>
      </c>
      <c r="AA56" s="58"/>
      <c r="AB56" s="58"/>
      <c r="AC56" s="58"/>
      <c r="AD56" s="58"/>
    </row>
    <row r="58" spans="1:30">
      <c r="A58" s="38" t="s">
        <v>119</v>
      </c>
      <c r="B58" s="59">
        <v>0.35457024445418056</v>
      </c>
      <c r="C58" s="59">
        <v>0.37277904266652001</v>
      </c>
      <c r="D58" s="59">
        <v>0.40193494361402199</v>
      </c>
      <c r="E58" s="59">
        <v>0.43052090545853722</v>
      </c>
      <c r="F58" s="59">
        <v>0.34496835851166391</v>
      </c>
      <c r="G58" s="59">
        <v>0.35449762459016287</v>
      </c>
      <c r="H58" s="59">
        <v>0.3745969566904046</v>
      </c>
      <c r="I58" s="59">
        <v>0.39112795551380608</v>
      </c>
      <c r="J58" s="59">
        <v>0.4286572924106995</v>
      </c>
      <c r="K58" s="59">
        <v>0.45093493414194596</v>
      </c>
      <c r="L58" s="59">
        <v>0.41186582816006861</v>
      </c>
      <c r="M58" s="59">
        <v>0.3867056566140501</v>
      </c>
      <c r="N58" s="59">
        <v>0.3876533429969341</v>
      </c>
      <c r="O58" s="59">
        <v>0.3987057702328527</v>
      </c>
      <c r="P58" s="59">
        <v>0.414228122926664</v>
      </c>
      <c r="Q58" s="59">
        <v>0.41912307877645855</v>
      </c>
      <c r="R58" s="59">
        <v>0.40936815113736819</v>
      </c>
      <c r="S58" s="59">
        <v>0.40031179275504059</v>
      </c>
      <c r="T58" s="59">
        <v>0.37970980474405147</v>
      </c>
      <c r="U58" s="59">
        <v>0.3806453464054958</v>
      </c>
      <c r="V58" s="59">
        <v>0.31630249028026924</v>
      </c>
      <c r="W58" s="59">
        <v>0.35552345349195152</v>
      </c>
      <c r="X58" s="59">
        <v>0.35728101516825328</v>
      </c>
      <c r="Y58" s="59">
        <v>0.34573176793212362</v>
      </c>
      <c r="Z58" s="59">
        <v>0</v>
      </c>
      <c r="AA58" s="59"/>
      <c r="AB58" s="59"/>
      <c r="AC58" s="59"/>
      <c r="AD58" s="59"/>
    </row>
    <row r="60" spans="1:30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D47A-358E-43A6-B096-C2990624AE6B}">
  <dimension ref="A1:M12"/>
  <sheetViews>
    <sheetView showGridLines="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N8" sqref="N8"/>
    </sheetView>
  </sheetViews>
  <sheetFormatPr defaultColWidth="8.77734375" defaultRowHeight="11.25"/>
  <cols>
    <col min="1" max="1" width="30.109375" style="14" bestFit="1" customWidth="1"/>
    <col min="2" max="12" width="4.88671875" style="14" bestFit="1" customWidth="1"/>
    <col min="13" max="13" width="6.21875" style="14" bestFit="1" customWidth="1"/>
    <col min="14" max="16384" width="8.77734375" style="14"/>
  </cols>
  <sheetData>
    <row r="1" spans="1:13" ht="25.5">
      <c r="A1" s="73" t="s">
        <v>220</v>
      </c>
    </row>
    <row r="4" spans="1:13">
      <c r="A4" s="62"/>
      <c r="B4" s="63" t="s">
        <v>28</v>
      </c>
      <c r="C4" s="63" t="s">
        <v>120</v>
      </c>
      <c r="D4" s="63" t="s">
        <v>121</v>
      </c>
      <c r="E4" s="63" t="s">
        <v>122</v>
      </c>
      <c r="F4" s="63" t="s">
        <v>123</v>
      </c>
      <c r="G4" s="63" t="s">
        <v>124</v>
      </c>
      <c r="H4" s="63">
        <v>2021</v>
      </c>
      <c r="I4" s="63">
        <v>2022</v>
      </c>
      <c r="J4" s="63" t="s">
        <v>175</v>
      </c>
      <c r="K4" s="63">
        <v>2024</v>
      </c>
      <c r="L4" s="63">
        <v>2025</v>
      </c>
      <c r="M4" s="63" t="s">
        <v>236</v>
      </c>
    </row>
    <row r="5" spans="1:13">
      <c r="A5" s="14" t="s">
        <v>125</v>
      </c>
      <c r="B5" s="64">
        <v>0.15</v>
      </c>
      <c r="C5" s="64">
        <v>0.27</v>
      </c>
      <c r="D5" s="64">
        <v>0.43</v>
      </c>
      <c r="E5" s="64">
        <v>0.25</v>
      </c>
      <c r="F5" s="64">
        <v>0.55000000000000004</v>
      </c>
      <c r="G5" s="64">
        <v>0.60000000000000009</v>
      </c>
      <c r="H5" s="64">
        <v>0.35</v>
      </c>
      <c r="I5" s="64">
        <v>0.5</v>
      </c>
      <c r="J5" s="64">
        <v>0.7</v>
      </c>
      <c r="K5" s="64">
        <v>0.60000000000000009</v>
      </c>
      <c r="L5" s="64">
        <v>0.30000000000000004</v>
      </c>
      <c r="M5" s="64">
        <v>0</v>
      </c>
    </row>
    <row r="6" spans="1:13">
      <c r="A6" s="14" t="s">
        <v>126</v>
      </c>
      <c r="B6" s="64">
        <v>4.6285613738057726E-3</v>
      </c>
      <c r="C6" s="64">
        <v>3.7142578292294913E-2</v>
      </c>
      <c r="D6" s="64">
        <v>0</v>
      </c>
      <c r="E6" s="64">
        <v>0.1141252678251523</v>
      </c>
      <c r="F6" s="64">
        <v>-2.4978822116791081E-2</v>
      </c>
      <c r="G6" s="64">
        <v>0.14242189812830178</v>
      </c>
      <c r="H6" s="64">
        <v>0.18707937778160297</v>
      </c>
      <c r="I6" s="64">
        <v>3.1257711436792658E-2</v>
      </c>
      <c r="J6" s="64">
        <v>6.9525840428643501E-2</v>
      </c>
      <c r="K6" s="64">
        <v>-5.9977678709369632E-2</v>
      </c>
      <c r="L6" s="64">
        <v>4.7213674088326194E-3</v>
      </c>
      <c r="M6" s="64">
        <v>6.0192529549145959E-2</v>
      </c>
    </row>
    <row r="7" spans="1:13">
      <c r="A7" s="65" t="s">
        <v>127</v>
      </c>
      <c r="B7" s="66">
        <f>SUM(B5:B6)</f>
        <v>0.15462856137380576</v>
      </c>
      <c r="C7" s="66">
        <f>SUM(C5:C6)</f>
        <v>0.30714257829229491</v>
      </c>
      <c r="D7" s="66">
        <f>SUM(D5:D6)</f>
        <v>0.43</v>
      </c>
      <c r="E7" s="66">
        <v>0.36412526782515231</v>
      </c>
      <c r="F7" s="66">
        <v>0.52502117788320901</v>
      </c>
      <c r="G7" s="66">
        <v>0.74242189812830184</v>
      </c>
      <c r="H7" s="66">
        <v>0.53707937778160297</v>
      </c>
      <c r="I7" s="66">
        <f>SUM(I5:I6)</f>
        <v>0.53125771143679268</v>
      </c>
      <c r="J7" s="66">
        <f>SUM(J5:J6)</f>
        <v>0.76952584042864347</v>
      </c>
      <c r="K7" s="66">
        <f>SUM(K5:K6)</f>
        <v>0.54002232129063044</v>
      </c>
      <c r="L7" s="66">
        <f>SUM(L5:L6)</f>
        <v>0.30472136740883266</v>
      </c>
      <c r="M7" s="66">
        <f>SUM(M5:M6)</f>
        <v>6.0192529549145959E-2</v>
      </c>
    </row>
    <row r="8" spans="1:13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s="12" customFormat="1">
      <c r="A9" s="12" t="s">
        <v>45</v>
      </c>
      <c r="B9" s="67">
        <v>0.22846822024285293</v>
      </c>
      <c r="C9" s="67">
        <v>0.41828586261028589</v>
      </c>
      <c r="D9" s="67">
        <v>0.48148775047950249</v>
      </c>
      <c r="E9" s="67">
        <v>0.52802377854743821</v>
      </c>
      <c r="F9" s="67">
        <v>0.69196180252607964</v>
      </c>
      <c r="G9" s="67">
        <v>0.73073860919464917</v>
      </c>
      <c r="H9" s="67">
        <v>0.95484434219018466</v>
      </c>
      <c r="I9" s="67">
        <v>0.95505976726982178</v>
      </c>
      <c r="J9" s="67">
        <v>0.96658583343888038</v>
      </c>
      <c r="K9" s="67">
        <v>0.59336044482052097</v>
      </c>
      <c r="L9" s="67">
        <v>0.450481156901891</v>
      </c>
      <c r="M9" s="67">
        <v>0.2046139803058146</v>
      </c>
    </row>
    <row r="12" spans="1:13">
      <c r="A12" s="14" t="s">
        <v>128</v>
      </c>
      <c r="B12" s="64">
        <v>82.059168999999997</v>
      </c>
      <c r="C12" s="64">
        <v>81.221179000000006</v>
      </c>
      <c r="D12" s="64">
        <v>81.221179000000006</v>
      </c>
      <c r="E12" s="64">
        <v>81.086950999999999</v>
      </c>
      <c r="F12" s="64">
        <v>81.244073499999999</v>
      </c>
      <c r="G12" s="64">
        <v>80.982798875</v>
      </c>
      <c r="H12" s="64">
        <v>80.687569249999996</v>
      </c>
      <c r="I12" s="64">
        <v>80.851745500000007</v>
      </c>
      <c r="J12" s="64">
        <v>81.061510874999996</v>
      </c>
      <c r="K12" s="64">
        <v>80.909300000000002</v>
      </c>
      <c r="L12" s="64">
        <v>81.687866374999999</v>
      </c>
      <c r="M12" s="64">
        <v>81.433318</v>
      </c>
    </row>
  </sheetData>
  <phoneticPr fontId="7" type="noConversion"/>
  <pageMargins left="0.7" right="0.7" top="0.75" bottom="0.75" header="0.3" footer="0.3"/>
  <pageSetup paperSize="9" orientation="portrait" r:id="rId1"/>
  <ignoredErrors>
    <ignoredError sqref="A4 J4 B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1C0500418C45FC2872A44E9F1EA46ED8D2FEFD" ma:contentTypeVersion="6" ma:contentTypeDescription="Itera templates 5" ma:contentTypeScope="" ma:versionID="c317a5e29f57aadf3b11433b3e8352fc">
  <xsd:schema xmlns:xsd="http://www.w3.org/2001/XMLSchema" xmlns:xs="http://www.w3.org/2001/XMLSchema" xmlns:p="http://schemas.microsoft.com/office/2006/metadata/properties" xmlns:ns2="6f97b7b8-2b0e-4769-b7c4-80f9cf634925" xmlns:ns3="0a30d117-6c74-4402-a11e-4fb920580670" targetNamespace="http://schemas.microsoft.com/office/2006/metadata/properties" ma:root="true" ma:fieldsID="b8743a1caea6348c24866e6420b2e42c" ns2:_="" ns3:_="">
    <xsd:import namespace="6f97b7b8-2b0e-4769-b7c4-80f9cf634925"/>
    <xsd:import namespace="0a30d117-6c74-4402-a11e-4fb920580670"/>
    <xsd:element name="properties">
      <xsd:complexType>
        <xsd:sequence>
          <xsd:element name="documentManagement">
            <xsd:complexType>
              <xsd:all>
                <xsd:element ref="ns2:a7ea6d49f3794e54851042dc4449d49f" minOccurs="0"/>
                <xsd:element ref="ns2:TaxCatchAll" minOccurs="0"/>
                <xsd:element ref="ns2:TaxCatchAllLabel" minOccurs="0"/>
                <xsd:element ref="ns2:aa6b486ff96646b3bc945a43d61f9e88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7b7b8-2b0e-4769-b7c4-80f9cf634925" elementFormDefault="qualified">
    <xsd:import namespace="http://schemas.microsoft.com/office/2006/documentManagement/types"/>
    <xsd:import namespace="http://schemas.microsoft.com/office/infopath/2007/PartnerControls"/>
    <xsd:element name="a7ea6d49f3794e54851042dc4449d49f" ma:index="8" nillable="true" ma:taxonomy="true" ma:internalName="a7ea6d49f3794e54851042dc4449d49f" ma:taxonomyFieldName="IteraDocumentStatus" ma:displayName="Document Status" ma:default="" ma:fieldId="{a7ea6d49-f379-4e54-8510-42dc4449d49f}" ma:sspId="159eb9a3-3f4a-4c35-8c93-630024bbff1d" ma:termSetId="618ce386-1cef-4bb4-8323-9950001d12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8edc03e-fcab-42db-8b95-c46584e4f35c}" ma:internalName="TaxCatchAll" ma:showField="CatchAllData" ma:web="6f97b7b8-2b0e-4769-b7c4-80f9cf634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8edc03e-fcab-42db-8b95-c46584e4f35c}" ma:internalName="TaxCatchAllLabel" ma:readOnly="true" ma:showField="CatchAllDataLabel" ma:web="6f97b7b8-2b0e-4769-b7c4-80f9cf634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a6b486ff96646b3bc945a43d61f9e88" ma:index="12" nillable="true" ma:taxonomy="true" ma:internalName="aa6b486ff96646b3bc945a43d61f9e88" ma:taxonomyFieldName="IteraDocumentType" ma:displayName="Document Type" ma:default="" ma:fieldId="{aa6b486f-f966-46b3-bc94-5a43d61f9e88}" ma:sspId="159eb9a3-3f4a-4c35-8c93-630024bbff1d" ma:termSetId="edf40ef1-4bb8-4a78-b3d2-3f61f1c611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d117-6c74-4402-a11e-4fb92058067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a6b486ff96646b3bc945a43d61f9e88 xmlns="6f97b7b8-2b0e-4769-b7c4-80f9cf634925">
      <Terms xmlns="http://schemas.microsoft.com/office/infopath/2007/PartnerControls"/>
    </aa6b486ff96646b3bc945a43d61f9e88>
    <TaxCatchAll xmlns="6f97b7b8-2b0e-4769-b7c4-80f9cf634925" xsi:nil="true"/>
    <a7ea6d49f3794e54851042dc4449d49f xmlns="6f97b7b8-2b0e-4769-b7c4-80f9cf634925">
      <Terms xmlns="http://schemas.microsoft.com/office/infopath/2007/PartnerControls"/>
    </a7ea6d49f3794e54851042dc4449d49f>
    <lcf76f155ced4ddcb4097134ff3c332f xmlns="0a30d117-6c74-4402-a11e-4fb920580670" xsi:nil="true"/>
  </documentManagement>
</p:properti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BCAE71A-7AD4-4CEC-912D-EFD035787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7b7b8-2b0e-4769-b7c4-80f9cf634925"/>
    <ds:schemaRef ds:uri="0a30d117-6c74-4402-a11e-4fb9205806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D09DF-5CAA-474F-A2C0-12F8713B03D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57B319B-0CE3-4F52-A341-3EEC1F875D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713B4C-A4BC-48FC-8B9E-925AC2C25278}">
  <ds:schemaRefs>
    <ds:schemaRef ds:uri="http://purl.org/dc/dcmitype/"/>
    <ds:schemaRef ds:uri="http://purl.org/dc/elements/1.1/"/>
    <ds:schemaRef ds:uri="http://schemas.microsoft.com/office/2006/metadata/properties"/>
    <ds:schemaRef ds:uri="0a30d117-6c74-4402-a11e-4fb920580670"/>
    <ds:schemaRef ds:uri="http://schemas.microsoft.com/office/2006/documentManagement/types"/>
    <ds:schemaRef ds:uri="6f97b7b8-2b0e-4769-b7c4-80f9cf634925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25169EF3-E895-45CE-B5EB-EBF7D361912E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0d0093f2-6b28-46da-83fb-f2d0cd310deb}" enabled="1" method="Standard" siteId="{efe9fc32-844b-45fe-a128-553444bb9a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Core digital business</vt:lpstr>
      <vt:lpstr>Main</vt:lpstr>
      <vt:lpstr>P&amp;L</vt:lpstr>
      <vt:lpstr>Balance</vt:lpstr>
      <vt:lpstr>Cash flow</vt:lpstr>
      <vt:lpstr>IFRS 16</vt:lpstr>
      <vt:lpstr>Key figures</vt:lpstr>
      <vt:lpstr>Shareholders</vt:lpstr>
      <vt:lpstr>'Key figures'!Print_Area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Tanya Lind</dc:creator>
  <cp:keywords/>
  <dc:description/>
  <cp:lastModifiedBy>Bent Hammer</cp:lastModifiedBy>
  <cp:revision/>
  <dcterms:created xsi:type="dcterms:W3CDTF">2019-03-05T12:24:25Z</dcterms:created>
  <dcterms:modified xsi:type="dcterms:W3CDTF">2026-05-07T18:54:20Z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0x01011C0500418C45FC2872A44E9F1EA46ED8D2FEFD</vt:lpwstr>
  </property>
  <property fmtid="{D5CDD505-2E9C-101B-9397-08002B2CF9AE}" pid="3" name="IteraDocumentType">
    <vt:lpwstr/>
  </property>
  <property fmtid="{D5CDD505-2E9C-101B-9397-08002B2CF9AE}" pid="4" name="IteraDocumentStatus">
    <vt:lpwstr/>
  </property>
  <property fmtid="{D5CDD505-2E9C-101B-9397-08002B2CF9AE}" pid="5" name="MediaServiceImageTags">
    <vt:lpwstr/>
  </property>
</Properties>
</file>